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6855" tabRatio="512" activeTab="0"/>
  </bookViews>
  <sheets>
    <sheet name="State Allocation Raw Data" sheetId="1" r:id="rId1"/>
  </sheets>
  <definedNames/>
  <calcPr fullCalcOnLoad="1"/>
</workbook>
</file>

<file path=xl/sharedStrings.xml><?xml version="1.0" encoding="utf-8"?>
<sst xmlns="http://schemas.openxmlformats.org/spreadsheetml/2006/main" count="201" uniqueCount="168">
  <si>
    <t>AK</t>
  </si>
  <si>
    <t>Alaska</t>
  </si>
  <si>
    <t>AL</t>
  </si>
  <si>
    <t>Alabama</t>
  </si>
  <si>
    <t>AR</t>
  </si>
  <si>
    <t>Arkansas</t>
  </si>
  <si>
    <t>XX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</si>
  <si>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</si>
  <si>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</si>
  <si>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</si>
  <si>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</si>
  <si>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</si>
  <si>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</si>
  <si>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</si>
  <si>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</si>
  <si>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</si>
  <si>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</si>
  <si>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</si>
  <si>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</si>
  <si>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</si>
  <si>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</si>
  <si>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</si>
  <si>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</si>
  <si>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</si>
  <si>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</si>
  <si>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</si>
  <si>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</si>
  <si>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</si>
  <si>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</si>
  <si>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</si>
  <si>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</si>
  <si>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</si>
  <si>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</si>
  <si>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</si>
  <si>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</si>
  <si>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</si>
  <si>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</si>
  <si>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</si>
  <si>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</si>
  <si>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</si>
  <si>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</si>
  <si>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</si>
  <si>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</si>
  <si>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</si>
  <si>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</si>
  <si>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</si>
  <si>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</si>
  <si>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</si>
  <si>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</si>
  <si>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</si>
  <si>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</si>
  <si>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</si>
  <si>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</si>
  <si>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</si>
  <si>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</si>
  <si>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</si>
  <si>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</si>
  <si>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</si>
  <si>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</si>
  <si>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</si>
  <si>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</si>
  <si>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</si>
  <si>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</si>
  <si>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</si>
  <si>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</si>
  <si>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</si>
  <si>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</si>
  <si>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</si>
  <si>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</si>
  <si>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</si>
  <si>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</si>
  <si>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</si>
  <si>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</si>
  <si>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</si>
  <si>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</si>
  <si>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</si>
  <si>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</si>
  <si>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</si>
  <si>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</si>
  <si>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</si>
  <si>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</si>
  <si>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</si>
  <si>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</si>
  <si>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</si>
  <si>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</si>
  <si>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</si>
  <si>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</si>
  <si>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</si>
  <si>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</si>
  <si>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</si>
  <si>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</si>
  <si>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</si>
  <si>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</si>
  <si>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</si>
  <si>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</si>
  <si>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</si>
  <si>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</si>
  <si>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</si>
  <si>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</si>
  <si>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</si>
  <si>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</si>
  <si>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</si>
  <si>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</si>
  <si>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</si>
  <si>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</si>
  <si>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State</t>
  </si>
  <si>
    <t>State Name</t>
  </si>
  <si>
    <t>Number of Subprime Loans</t>
  </si>
  <si>
    <t>Percent Subprime Loans</t>
  </si>
  <si>
    <t>Number Vacant Addresses in Census Tracts with 40% or more high cost loans</t>
  </si>
  <si>
    <t>Percent of all addresses in state vacant</t>
  </si>
  <si>
    <t>Number loans 60 to 90 days delinquent</t>
  </si>
  <si>
    <t>Percent of loans 60 to 90 days delinquent</t>
  </si>
  <si>
    <t>Number of loans in default</t>
  </si>
  <si>
    <t>Total Mortgages in State</t>
  </si>
  <si>
    <t>INSULAR AREAS*</t>
  </si>
  <si>
    <t>*Insular areas data estimated</t>
  </si>
  <si>
    <t>Number of Foreclosure Starts Past 18 Months</t>
  </si>
  <si>
    <t>Percent of Loans to Start Foreclosure Past 18 Months</t>
  </si>
  <si>
    <t>Percent of loans in default</t>
  </si>
  <si>
    <t>Raw Data For Calculating Statewide Neighborhood Stabilization Program Allocation - 9-26-2008</t>
  </si>
  <si>
    <t>NATIONAL TOTALS</t>
  </si>
  <si>
    <t xml:space="preserve">Statewide Allocation = $3.92 billion *     </t>
  </si>
  <si>
    <r>
      <t>{ [ 0.70* (</t>
    </r>
    <r>
      <rPr>
        <u val="single"/>
        <sz val="8"/>
        <rFont val="Times New Roman"/>
        <family val="1"/>
      </rPr>
      <t xml:space="preserve">State’s number of foreclosure starts in last 6 quarters    </t>
    </r>
    <r>
      <rPr>
        <sz val="8"/>
        <rFont val="Times New Roman"/>
        <family val="1"/>
      </rPr>
      <t>) * (</t>
    </r>
    <r>
      <rPr>
        <u val="single"/>
        <sz val="8"/>
        <rFont val="Times New Roman"/>
        <family val="1"/>
      </rPr>
      <t>Percent of all loans in state to enter foreclosure last 6 quarters)</t>
    </r>
    <r>
      <rPr>
        <sz val="8"/>
        <rFont val="Times New Roman"/>
        <family val="1"/>
      </rPr>
      <t xml:space="preserve">  +</t>
    </r>
  </si>
  <si>
    <t xml:space="preserve">               National number of foreclosure starts in last 6 quarters         Percent of all loans in nation to enter foreclosure last 6 quarters</t>
  </si>
  <si>
    <r>
      <t xml:space="preserve">  0.15  *  (</t>
    </r>
    <r>
      <rPr>
        <u val="single"/>
        <sz val="8"/>
        <rFont val="Times New Roman"/>
        <family val="1"/>
      </rPr>
      <t xml:space="preserve">State’s number of subprime loans     </t>
    </r>
    <r>
      <rPr>
        <sz val="8"/>
        <rFont val="Times New Roman"/>
        <family val="1"/>
      </rPr>
      <t>)  *  (</t>
    </r>
    <r>
      <rPr>
        <u val="single"/>
        <sz val="8"/>
        <rFont val="Times New Roman"/>
        <family val="1"/>
      </rPr>
      <t>Percent of all loans in state subprime</t>
    </r>
    <r>
      <rPr>
        <sz val="8"/>
        <rFont val="Times New Roman"/>
        <family val="1"/>
      </rPr>
      <t>)   +</t>
    </r>
  </si>
  <si>
    <t xml:space="preserve">                 National number of subprime loans          Percent of all loans in nation subprime</t>
  </si>
  <si>
    <r>
      <t xml:space="preserve">  0.10  * (</t>
    </r>
    <r>
      <rPr>
        <u val="single"/>
        <sz val="8"/>
        <rFont val="Times New Roman"/>
        <family val="1"/>
      </rPr>
      <t xml:space="preserve">State’s number of loans in default (90+ days delinquent) </t>
    </r>
    <r>
      <rPr>
        <sz val="8"/>
        <rFont val="Times New Roman"/>
        <family val="1"/>
      </rPr>
      <t>)   * (</t>
    </r>
    <r>
      <rPr>
        <u val="single"/>
        <sz val="8"/>
        <rFont val="Times New Roman"/>
        <family val="1"/>
      </rPr>
      <t xml:space="preserve">Percent of all loans in state in default    </t>
    </r>
    <r>
      <rPr>
        <sz val="8"/>
        <rFont val="Times New Roman"/>
        <family val="1"/>
      </rPr>
      <t>)  +</t>
    </r>
  </si>
  <si>
    <t xml:space="preserve">                National number of loans in default                                          Percent of all loans in nation in default</t>
  </si>
  <si>
    <r>
      <t xml:space="preserve">   0.05  * (</t>
    </r>
    <r>
      <rPr>
        <u val="single"/>
        <sz val="8"/>
        <rFont val="Times New Roman"/>
        <family val="1"/>
      </rPr>
      <t xml:space="preserve">State’s number of loans 60 to 89 days delinquent    </t>
    </r>
    <r>
      <rPr>
        <sz val="8"/>
        <rFont val="Times New Roman"/>
        <family val="1"/>
      </rPr>
      <t>)  * (</t>
    </r>
    <r>
      <rPr>
        <u val="single"/>
        <sz val="8"/>
        <rFont val="Times New Roman"/>
        <family val="1"/>
      </rPr>
      <t>Percent of all loans in state  60 to 89 days delinquent</t>
    </r>
    <r>
      <rPr>
        <sz val="8"/>
        <rFont val="Times New Roman"/>
        <family val="1"/>
      </rPr>
      <t xml:space="preserve">)   ]  </t>
    </r>
  </si>
  <si>
    <t xml:space="preserve">                National number of loans 60 to 89 days delinquent         National percent of all loans 60 to 89 days delinquent</t>
  </si>
  <si>
    <r>
      <t xml:space="preserve">   *  (</t>
    </r>
    <r>
      <rPr>
        <u val="single"/>
        <sz val="8"/>
        <rFont val="Times New Roman"/>
        <family val="1"/>
      </rPr>
      <t xml:space="preserve">Pct of all addresses in state vacant in Census Tracts where more than 40% of the 2004 to 2006 loans were high cost  </t>
    </r>
    <r>
      <rPr>
        <sz val="8"/>
        <rFont val="Times New Roman"/>
        <family val="1"/>
      </rPr>
      <t>)     }</t>
    </r>
  </si>
  <si>
    <t xml:space="preserve">        Pct of all addresses in nation vacant in Census Tracts where more than 40% of the 2004 to 2006 loans were high cost </t>
  </si>
  <si>
    <t>Formula for Statewide Calculation:</t>
  </si>
  <si>
    <t xml:space="preserve">  Allocation =</t>
  </si>
  <si>
    <t>*</t>
  </si>
  <si>
    <t>Number</t>
  </si>
  <si>
    <t>Percent</t>
  </si>
  <si>
    <t>)]</t>
  </si>
  <si>
    <t>[ (</t>
  </si>
  <si>
    <t>)</t>
  </si>
  <si>
    <t xml:space="preserve">  (</t>
  </si>
  <si>
    <t xml:space="preserve">    *  Pro-Rata Adjustment on balance of grant above $19.6 million</t>
  </si>
  <si>
    <t>Capped Percent Adjustment</t>
  </si>
  <si>
    <t>Weight</t>
  </si>
  <si>
    <t>Amount from each factor</t>
  </si>
  <si>
    <t>Allocation Pre pro-rata reduction:</t>
  </si>
  <si>
    <t>Pro-rata reduction ratio:</t>
  </si>
  <si>
    <t xml:space="preserve">   (b) National Amount of Dollars Above $19.6 minimum for all states:</t>
  </si>
  <si>
    <t xml:space="preserve">   (c) Amount of dollars allocated above $3.92 billion:</t>
  </si>
  <si>
    <t>Example for Ohio - raw data.</t>
  </si>
  <si>
    <t>Example for Ohio - Calculations</t>
  </si>
  <si>
    <t>TOTAL ALLOCATION FOR OHIO:</t>
  </si>
  <si>
    <t>Pro-rata reduction contrbution from Ohio = ((a/b)*c)</t>
  </si>
  <si>
    <t xml:space="preserve">   (a) Ohio's Share Above $19.6 million minimum for all states:</t>
  </si>
  <si>
    <t>Raw Data</t>
  </si>
  <si>
    <t>Calculations</t>
  </si>
  <si>
    <t>Adjustment for foreclosure rate</t>
  </si>
  <si>
    <t>Base Allocation on Number Foreclosure Starts</t>
  </si>
  <si>
    <t>Base Allocation for Number Subprime Loans</t>
  </si>
  <si>
    <t>Adjustment for Percent of Subprime Loans</t>
  </si>
  <si>
    <t>Base Allocation 60 to 90 day delinquency</t>
  </si>
  <si>
    <t>Adjustment for percent 60 to 90 day delinquency</t>
  </si>
  <si>
    <t>Base Allocation for Number Defaults</t>
  </si>
  <si>
    <t>Adjustment for percent of loans in default</t>
  </si>
  <si>
    <t>Final Allocation</t>
  </si>
  <si>
    <t>Pro-rata and Minimum Grant Adjustment</t>
  </si>
  <si>
    <t>Adjustment for vacancy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</si>
</sst>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"/>
    <numFmt numFmtId="165" formatCode="#,##0.0000"/>
    <numFmt numFmtId="166" formatCode="#,##0.0000000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"/>
    <numFmt numFmtId="173" formatCode="0.000"/>
    <numFmt numFmtId="174" formatCode="#,##0.000"/>
    <numFmt numFmtId="175" formatCode="&quot;$&quot;#,##0"/>
    <numFmt numFmtId="176" formatCode="&quot;$&quot;#,##0.000"/>
    <numFmt numFmtId="177" formatCode="&quot;$&quot;#,##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medium"/>
      <right>
        <color indexed="8"/>
      </right>
      <top style="medium"/>
      <bottom>
        <color indexed="63"/>
      </bottom>
    </border>
    <border>
      <left/>
      <right>
        <color indexed="8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8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8"/>
      </right>
      <top>
        <color indexed="63"/>
      </top>
      <bottom style="medium"/>
    </border>
    <border>
      <left/>
      <right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8"/>
      </right>
      <top style="thick">
        <color indexed="8"/>
      </top>
      <bottom style="thick">
        <color indexed="21"/>
      </bottom>
    </border>
    <border>
      <left/>
      <right style="thick">
        <color indexed="8"/>
      </right>
      <top style="thick">
        <color indexed="8"/>
      </top>
      <bottom style="thick">
        <color indexed="21"/>
      </bottom>
    </border>
    <border>
      <left style="thick">
        <color indexed="8"/>
      </left>
      <right>
        <color indexed="8"/>
      </right>
      <top style="thick">
        <color indexed="8"/>
      </top>
      <bottom style="thick">
        <color indexed="21"/>
      </bottom>
    </border>
    <border>
      <left/>
      <right>
        <color indexed="63"/>
      </right>
      <top style="thick">
        <color indexed="8"/>
      </top>
      <bottom style="thick">
        <color indexed="21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2" borderId="1" xfId="0" applyFont="1" applyFill="1" applyBorder="1" applyAlignment="1">
      <alignment/>
    </xf>
    <xf numFmtId="4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4" fontId="1" fillId="3" borderId="1" xfId="0" applyFont="1" applyFill="1" applyBorder="1" applyAlignment="1">
      <alignment/>
    </xf>
    <xf numFmtId="4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4" fontId="1" fillId="3" borderId="3" xfId="0" applyFont="1" applyFill="1" applyBorder="1" applyAlignment="1">
      <alignment/>
    </xf>
    <xf numFmtId="4" fontId="1" fillId="3" borderId="4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4" fontId="2" fillId="3" borderId="6" xfId="0" applyFont="1" applyFill="1" applyBorder="1" applyAlignment="1">
      <alignment horizontal="center" wrapText="1"/>
    </xf>
    <xf numFmtId="4" fontId="2" fillId="3" borderId="7" xfId="0" applyFont="1" applyFill="1" applyBorder="1" applyAlignment="1">
      <alignment horizontal="center" wrapText="1"/>
    </xf>
    <xf numFmtId="3" fontId="2" fillId="3" borderId="7" xfId="0" applyNumberFormat="1" applyFont="1" applyFill="1" applyBorder="1" applyAlignment="1">
      <alignment horizontal="center" wrapText="1"/>
    </xf>
    <xf numFmtId="167" fontId="2" fillId="3" borderId="7" xfId="0" applyNumberFormat="1" applyFont="1" applyFill="1" applyBorder="1" applyAlignment="1">
      <alignment horizontal="center" wrapText="1"/>
    </xf>
    <xf numFmtId="3" fontId="2" fillId="3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7" fontId="3" fillId="0" borderId="0" xfId="0" applyNumberFormat="1" applyFont="1" applyAlignment="1">
      <alignment horizontal="centerContinuous"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Font="1" applyFill="1" applyBorder="1" applyAlignment="1" applyProtection="1">
      <alignment/>
      <protection/>
    </xf>
    <xf numFmtId="16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67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/>
    </xf>
    <xf numFmtId="175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6" fillId="0" borderId="18" xfId="0" applyNumberFormat="1" applyFont="1" applyBorder="1" applyAlignment="1">
      <alignment horizontal="center" wrapText="1"/>
    </xf>
    <xf numFmtId="175" fontId="0" fillId="0" borderId="18" xfId="0" applyNumberFormat="1" applyBorder="1" applyAlignment="1">
      <alignment/>
    </xf>
    <xf numFmtId="175" fontId="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16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21" xfId="0" applyNumberFormat="1" applyBorder="1" applyAlignment="1">
      <alignment horizontal="centerContinuous" wrapText="1"/>
    </xf>
    <xf numFmtId="3" fontId="0" fillId="0" borderId="21" xfId="0" applyNumberFormat="1" applyBorder="1" applyAlignment="1">
      <alignment horizontal="centerContinuous" wrapText="1"/>
    </xf>
    <xf numFmtId="3" fontId="0" fillId="0" borderId="22" xfId="0" applyNumberFormat="1" applyBorder="1" applyAlignment="1">
      <alignment horizontal="centerContinuous" wrapText="1"/>
    </xf>
    <xf numFmtId="3" fontId="3" fillId="0" borderId="23" xfId="0" applyNumberFormat="1" applyFont="1" applyBorder="1" applyAlignment="1">
      <alignment horizontal="centerContinuous" wrapText="1"/>
    </xf>
    <xf numFmtId="167" fontId="0" fillId="0" borderId="24" xfId="0" applyNumberFormat="1" applyBorder="1" applyAlignment="1">
      <alignment horizontal="centerContinuous" wrapText="1"/>
    </xf>
    <xf numFmtId="175" fontId="1" fillId="3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" fillId="3" borderId="2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175" fontId="1" fillId="2" borderId="2" xfId="0" applyNumberFormat="1" applyFont="1" applyFill="1" applyBorder="1" applyAlignment="1">
      <alignment/>
    </xf>
    <xf numFmtId="175" fontId="1" fillId="3" borderId="4" xfId="0" applyNumberFormat="1" applyFont="1" applyFill="1" applyBorder="1" applyAlignment="1">
      <alignment/>
    </xf>
    <xf numFmtId="175" fontId="1" fillId="3" borderId="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3.8515625" style="6" customWidth="1"/>
    <col min="4" max="4" width="12.8515625" style="7" customWidth="1"/>
    <col min="5" max="5" width="10.8515625" style="6" customWidth="1"/>
    <col min="6" max="6" width="11.00390625" style="7" customWidth="1"/>
    <col min="7" max="7" width="13.421875" style="6" customWidth="1"/>
    <col min="8" max="8" width="10.421875" style="7" customWidth="1"/>
    <col min="9" max="9" width="12.140625" style="6" customWidth="1"/>
    <col min="10" max="10" width="15.8515625" style="7" customWidth="1"/>
    <col min="11" max="11" width="10.8515625" style="6" customWidth="1"/>
    <col min="12" max="12" width="15.28125" style="7" customWidth="1"/>
    <col min="13" max="13" width="13.140625" style="6" customWidth="1"/>
    <col min="14" max="14" width="17.00390625" style="0" customWidth="1"/>
    <col min="15" max="15" width="13.57421875" style="0" customWidth="1"/>
    <col min="16" max="16" width="12.8515625" style="0" customWidth="1"/>
    <col min="17" max="17" width="12.7109375" style="0" customWidth="1"/>
    <col min="18" max="18" width="12.140625" style="0" customWidth="1"/>
    <col min="19" max="19" width="13.421875" style="0" customWidth="1"/>
    <col min="20" max="20" width="11.57421875" style="0" customWidth="1"/>
    <col min="21" max="23" width="13.8515625" style="0" customWidth="1"/>
    <col min="24" max="24" width="15.421875" style="0" customWidth="1"/>
  </cols>
  <sheetData>
    <row r="1" spans="1:13" ht="12.75">
      <c r="A1" s="29" t="s">
        <v>120</v>
      </c>
      <c r="B1" s="29"/>
      <c r="C1" s="30"/>
      <c r="D1" s="31"/>
      <c r="E1" s="30"/>
      <c r="F1" s="31"/>
      <c r="G1" s="30"/>
      <c r="H1" s="31"/>
      <c r="I1" s="30"/>
      <c r="J1" s="31"/>
      <c r="K1" s="30"/>
      <c r="L1" s="31"/>
      <c r="M1" s="30"/>
    </row>
    <row r="2" spans="3:13" ht="13.5" thickBot="1">
      <c r="C2" s="34"/>
      <c r="D2" s="35"/>
      <c r="E2" s="34"/>
      <c r="F2" s="35"/>
      <c r="G2" s="34"/>
      <c r="H2" s="35"/>
      <c r="I2" s="34"/>
      <c r="J2" s="35"/>
      <c r="K2" s="34"/>
      <c r="L2" s="35"/>
      <c r="M2" s="34"/>
    </row>
    <row r="3" spans="2:24" ht="14.25" thickBot="1" thickTop="1">
      <c r="B3" s="81"/>
      <c r="C3" s="85" t="s">
        <v>155</v>
      </c>
      <c r="D3" s="82"/>
      <c r="E3" s="83"/>
      <c r="F3" s="82"/>
      <c r="G3" s="83"/>
      <c r="H3" s="82"/>
      <c r="I3" s="83"/>
      <c r="J3" s="82"/>
      <c r="K3" s="83"/>
      <c r="L3" s="82"/>
      <c r="M3" s="84"/>
      <c r="N3" s="85" t="s">
        <v>156</v>
      </c>
      <c r="O3" s="82"/>
      <c r="P3" s="83"/>
      <c r="Q3" s="82"/>
      <c r="R3" s="83"/>
      <c r="S3" s="82"/>
      <c r="T3" s="83"/>
      <c r="U3" s="82"/>
      <c r="V3" s="86"/>
      <c r="W3" s="86"/>
      <c r="X3" s="84"/>
    </row>
    <row r="4" spans="1:24" ht="102.75" thickTop="1">
      <c r="A4" s="24" t="s">
        <v>105</v>
      </c>
      <c r="B4" s="25" t="s">
        <v>106</v>
      </c>
      <c r="C4" s="26" t="s">
        <v>117</v>
      </c>
      <c r="D4" s="27" t="s">
        <v>118</v>
      </c>
      <c r="E4" s="26" t="s">
        <v>107</v>
      </c>
      <c r="F4" s="27" t="s">
        <v>108</v>
      </c>
      <c r="G4" s="26" t="s">
        <v>109</v>
      </c>
      <c r="H4" s="27" t="s">
        <v>110</v>
      </c>
      <c r="I4" s="26" t="s">
        <v>111</v>
      </c>
      <c r="J4" s="27" t="s">
        <v>112</v>
      </c>
      <c r="K4" s="26" t="s">
        <v>113</v>
      </c>
      <c r="L4" s="27" t="s">
        <v>119</v>
      </c>
      <c r="M4" s="28" t="s">
        <v>114</v>
      </c>
      <c r="N4" s="26" t="s">
        <v>158</v>
      </c>
      <c r="O4" s="27" t="s">
        <v>157</v>
      </c>
      <c r="P4" s="26" t="s">
        <v>159</v>
      </c>
      <c r="Q4" s="27" t="s">
        <v>160</v>
      </c>
      <c r="R4" s="26" t="s">
        <v>161</v>
      </c>
      <c r="S4" s="27" t="s">
        <v>162</v>
      </c>
      <c r="T4" s="26" t="s">
        <v>163</v>
      </c>
      <c r="U4" s="27" t="s">
        <v>164</v>
      </c>
      <c r="V4" s="27" t="s">
        <v>167</v>
      </c>
      <c r="W4" s="27" t="s">
        <v>166</v>
      </c>
      <c r="X4" s="28" t="s">
        <v>165</v>
      </c>
    </row>
    <row r="5" spans="1:24" ht="12.75">
      <c r="A5" s="14" t="s">
        <v>0</v>
      </c>
      <c r="B5" s="15" t="s">
        <v>1</v>
      </c>
      <c r="C5" s="16">
        <v>2213.6231589514073</v>
      </c>
      <c r="D5" s="17">
        <v>0.0197185025039873</v>
      </c>
      <c r="E5" s="16">
        <v>11636.62040808427</v>
      </c>
      <c r="F5" s="17">
        <v>0.10365663537937189</v>
      </c>
      <c r="G5" s="16">
        <v>329</v>
      </c>
      <c r="H5" s="17">
        <v>0.0018231692111606772</v>
      </c>
      <c r="I5" s="16">
        <v>898.0897645767119</v>
      </c>
      <c r="J5" s="17">
        <v>0.008</v>
      </c>
      <c r="K5" s="16">
        <v>920.5420086911296</v>
      </c>
      <c r="L5" s="17">
        <v>0.008199999999999999</v>
      </c>
      <c r="M5" s="18">
        <v>112261.22057208899</v>
      </c>
      <c r="N5" s="87">
        <f>+(0.7*C5/C$58)*3920000000</f>
        <v>2070001.1643795099</v>
      </c>
      <c r="O5" s="87">
        <f>((+IF(D5/D$58&gt;1.3,1.3,IF(D5/D$58&lt;0.7,0.7,D5/D$58)))-1)*N5</f>
        <v>-621000.3493138531</v>
      </c>
      <c r="P5" s="87">
        <f>+(0.15*E5/E$58)*3920000000</f>
        <v>945857.6669887912</v>
      </c>
      <c r="Q5" s="87">
        <f>((+IF(F5/F$58&gt;1.3,1.3,IF(F5/F$58&lt;0.7,0.7,F5/F$58)))-1)*P5</f>
        <v>-118148.22681378643</v>
      </c>
      <c r="R5" s="87">
        <f>+(0.05*I5/I$58)*3920000000</f>
        <v>234591.86952210648</v>
      </c>
      <c r="S5" s="87">
        <f>((+IF(J5/J$58&gt;1.3,1.3,IF(J5/J$58&lt;0.7,0.7,J5/J$58)))-1)*R5</f>
        <v>-70377.56085663196</v>
      </c>
      <c r="T5" s="87">
        <f>+(0.1*K5/K$58)*3920000000</f>
        <v>345866.81826156314</v>
      </c>
      <c r="U5" s="87">
        <f>((+IF(L5/L$58&gt;1.3,1.3,IF(L5/L$58&lt;0.7,0.7,L5/L$58)))-1)*T5</f>
        <v>-103760.04547846895</v>
      </c>
      <c r="V5" s="87">
        <f>((+IF(H5/H$58&gt;1.1,1.1,IF(H5/H$58&lt;0.9,0.9,H5/H$58)))-1)*SUM(N5:U5)</f>
        <v>-268303.13366892294</v>
      </c>
      <c r="W5" s="87">
        <f>+IF(SUM(N5:V5)&lt;19600000,19600000-SUM(N5:V5),-(SUM(N5:V5)-19600000)/$G$120*$G$121)</f>
        <v>17185271.79697969</v>
      </c>
      <c r="X5" s="89">
        <f>SUM(N5:W5)</f>
        <v>19600000</v>
      </c>
    </row>
    <row r="6" spans="1:24" ht="12.75">
      <c r="A6" s="9" t="s">
        <v>2</v>
      </c>
      <c r="B6" s="10" t="s">
        <v>3</v>
      </c>
      <c r="C6" s="11">
        <v>33699.47299280077</v>
      </c>
      <c r="D6" s="12">
        <v>0.03649432280062813</v>
      </c>
      <c r="E6" s="11">
        <v>86505.69556121212</v>
      </c>
      <c r="F6" s="12">
        <v>0.09368000438992512</v>
      </c>
      <c r="G6" s="11">
        <v>46572</v>
      </c>
      <c r="H6" s="12">
        <v>0.02360983246204947</v>
      </c>
      <c r="I6" s="11">
        <v>13112.519421501214</v>
      </c>
      <c r="J6" s="12">
        <v>0.014199999999999999</v>
      </c>
      <c r="K6" s="11">
        <v>17360.23698057907</v>
      </c>
      <c r="L6" s="12">
        <v>0.018799999999999997</v>
      </c>
      <c r="M6" s="13">
        <v>923416.8606690996</v>
      </c>
      <c r="N6" s="90">
        <f aca="true" t="shared" si="0" ref="N6:N56">+(0.7*C6/C$58)*3920000000</f>
        <v>31513018.849657215</v>
      </c>
      <c r="O6" s="90">
        <f aca="true" t="shared" si="1" ref="O6:O56">((+IF(D6/D$58&gt;1.3,1.3,IF(D6/D$58&lt;0.7,0.7,D6/D$58)))-1)*N6</f>
        <v>-7578123.737758753</v>
      </c>
      <c r="P6" s="90">
        <f aca="true" t="shared" si="2" ref="P6:P56">+(0.15*E6/E$58)*3920000000</f>
        <v>7031429.445608344</v>
      </c>
      <c r="Q6" s="90">
        <f aca="true" t="shared" si="3" ref="Q6:Q56">((+IF(F6/F$58&gt;1.3,1.3,IF(F6/F$58&lt;0.7,0.7,F6/F$58)))-1)*P6</f>
        <v>-1470523.6519874793</v>
      </c>
      <c r="R6" s="90">
        <f aca="true" t="shared" si="4" ref="R6:R56">+(0.05*I6/I$58)*3920000000</f>
        <v>3425148.093837507</v>
      </c>
      <c r="S6" s="90">
        <f aca="true" t="shared" si="5" ref="S6:S56">((+IF(J6/J$58&gt;1.3,1.3,IF(J6/J$58&lt;0.7,0.7,J6/J$58)))-1)*R6</f>
        <v>533421.2193199182</v>
      </c>
      <c r="T6" s="90">
        <f aca="true" t="shared" si="6" ref="T6:T56">+(0.1*K6/K$58)*3920000000</f>
        <v>6522602.84924623</v>
      </c>
      <c r="U6" s="90">
        <f aca="true" t="shared" si="7" ref="U6:U56">((+IF(L6/L$58&gt;1.3,1.3,IF(L6/L$58&lt;0.7,0.7,L6/L$58)))-1)*T6</f>
        <v>655198.2870099875</v>
      </c>
      <c r="V6" s="90">
        <f aca="true" t="shared" si="8" ref="V6:V56">((+IF(H6/H$58&gt;1.1,1.1,IF(H6/H$58&lt;0.9,0.9,H6/H$58)))-1)*SUM(N6:U6)</f>
        <v>4063217.1354933</v>
      </c>
      <c r="W6" s="90">
        <f aca="true" t="shared" si="9" ref="W6:W56">+IF(SUM(N6:V6)&lt;19600000,19600000-SUM(N6:V6),-(SUM(N6:V6)-19600000)/$G$120*$G$121)</f>
        <v>-2844268.213615576</v>
      </c>
      <c r="X6" s="91">
        <f aca="true" t="shared" si="10" ref="X6:X56">SUM(N6:W6)</f>
        <v>41851120.27681069</v>
      </c>
    </row>
    <row r="7" spans="1:24" ht="12.75">
      <c r="A7" s="14" t="s">
        <v>4</v>
      </c>
      <c r="B7" s="15" t="s">
        <v>5</v>
      </c>
      <c r="C7" s="16">
        <v>16870.550726453497</v>
      </c>
      <c r="D7" s="17">
        <v>0.03217047391893648</v>
      </c>
      <c r="E7" s="16">
        <v>45226.700865634135</v>
      </c>
      <c r="F7" s="17">
        <v>0.08624285147704157</v>
      </c>
      <c r="G7" s="16">
        <v>15353</v>
      </c>
      <c r="H7" s="17">
        <v>0.013548346674597004</v>
      </c>
      <c r="I7" s="16">
        <v>5873.403314243923</v>
      </c>
      <c r="J7" s="17">
        <v>0.011200000000000002</v>
      </c>
      <c r="K7" s="16">
        <v>8023.488456065358</v>
      </c>
      <c r="L7" s="17">
        <v>0.015300000000000001</v>
      </c>
      <c r="M7" s="18">
        <v>524411.0102003502</v>
      </c>
      <c r="N7" s="87">
        <f t="shared" si="0"/>
        <v>15775973.20766417</v>
      </c>
      <c r="O7" s="87">
        <f t="shared" si="1"/>
        <v>-4732791.962299252</v>
      </c>
      <c r="P7" s="87">
        <f t="shared" si="2"/>
        <v>3676155.1263328665</v>
      </c>
      <c r="Q7" s="87">
        <f t="shared" si="3"/>
        <v>-999626.1538671465</v>
      </c>
      <c r="R7" s="87">
        <f t="shared" si="4"/>
        <v>1534203.7269461902</v>
      </c>
      <c r="S7" s="87">
        <f t="shared" si="5"/>
        <v>-135674.2918569815</v>
      </c>
      <c r="T7" s="87">
        <f t="shared" si="6"/>
        <v>3014591.835524614</v>
      </c>
      <c r="U7" s="87">
        <f t="shared" si="7"/>
        <v>-314785.66136961046</v>
      </c>
      <c r="V7" s="87">
        <f t="shared" si="8"/>
        <v>1781804.5827074863</v>
      </c>
      <c r="W7" s="87">
        <f t="shared" si="9"/>
        <v>149.59021766483784</v>
      </c>
      <c r="X7" s="89">
        <f t="shared" si="10"/>
        <v>19600000</v>
      </c>
    </row>
    <row r="8" spans="1:24" ht="12.75">
      <c r="A8" s="9" t="s">
        <v>7</v>
      </c>
      <c r="B8" s="10" t="s">
        <v>8</v>
      </c>
      <c r="C8" s="11">
        <v>81020.19143206195</v>
      </c>
      <c r="D8" s="12">
        <v>0.056336398062968605</v>
      </c>
      <c r="E8" s="11">
        <v>212798.7933530067</v>
      </c>
      <c r="F8" s="12">
        <v>0.14796703534953967</v>
      </c>
      <c r="G8" s="11">
        <v>28839</v>
      </c>
      <c r="H8" s="12">
        <v>0.01194637366934572</v>
      </c>
      <c r="I8" s="11">
        <v>19127.39513168731</v>
      </c>
      <c r="J8" s="12">
        <v>0.013300000000000001</v>
      </c>
      <c r="K8" s="11">
        <v>25455.255175253038</v>
      </c>
      <c r="L8" s="12">
        <v>0.0177</v>
      </c>
      <c r="M8" s="13">
        <v>1438150.0099013015</v>
      </c>
      <c r="N8" s="90">
        <f t="shared" si="0"/>
        <v>75763523.6713299</v>
      </c>
      <c r="O8" s="90">
        <f t="shared" si="1"/>
        <v>13067660.51435846</v>
      </c>
      <c r="P8" s="90">
        <f t="shared" si="2"/>
        <v>17296892.32443056</v>
      </c>
      <c r="Q8" s="90">
        <f t="shared" si="3"/>
        <v>4309788.988527641</v>
      </c>
      <c r="R8" s="90">
        <f t="shared" si="4"/>
        <v>4996306.11550889</v>
      </c>
      <c r="S8" s="90">
        <f t="shared" si="5"/>
        <v>412124.16187487775</v>
      </c>
      <c r="T8" s="90">
        <f t="shared" si="6"/>
        <v>9564069.898362475</v>
      </c>
      <c r="U8" s="90">
        <f t="shared" si="7"/>
        <v>344903.09136960306</v>
      </c>
      <c r="V8" s="90">
        <f t="shared" si="8"/>
        <v>8340538.7168694055</v>
      </c>
      <c r="W8" s="90">
        <f t="shared" si="9"/>
        <v>-12976758.097980194</v>
      </c>
      <c r="X8" s="91">
        <f t="shared" si="10"/>
        <v>121119049.3846516</v>
      </c>
    </row>
    <row r="9" spans="1:24" ht="12.75">
      <c r="A9" s="14" t="s">
        <v>9</v>
      </c>
      <c r="B9" s="15" t="s">
        <v>10</v>
      </c>
      <c r="C9" s="16">
        <v>419327.1852391793</v>
      </c>
      <c r="D9" s="17">
        <v>0.06714312152450222</v>
      </c>
      <c r="E9" s="16">
        <v>805925.1603979672</v>
      </c>
      <c r="F9" s="17">
        <v>0.1290456066028479</v>
      </c>
      <c r="G9" s="16">
        <v>29551</v>
      </c>
      <c r="H9" s="17">
        <v>0.002305072000836194</v>
      </c>
      <c r="I9" s="16">
        <v>76192.34172857313</v>
      </c>
      <c r="J9" s="17">
        <v>0.012199999999999999</v>
      </c>
      <c r="K9" s="16">
        <v>130526.2247645228</v>
      </c>
      <c r="L9" s="17">
        <v>0.0209</v>
      </c>
      <c r="M9" s="18">
        <v>6245273.912178125</v>
      </c>
      <c r="N9" s="87">
        <f t="shared" si="0"/>
        <v>392120835.10738957</v>
      </c>
      <c r="O9" s="87">
        <f t="shared" si="1"/>
        <v>117636250.53221689</v>
      </c>
      <c r="P9" s="87">
        <f t="shared" si="2"/>
        <v>65507893.63654115</v>
      </c>
      <c r="Q9" s="87">
        <f t="shared" si="3"/>
        <v>5858191.005832421</v>
      </c>
      <c r="R9" s="87">
        <f t="shared" si="4"/>
        <v>19902357.864859544</v>
      </c>
      <c r="S9" s="87">
        <f t="shared" si="5"/>
        <v>-140174.8418600122</v>
      </c>
      <c r="T9" s="87">
        <f t="shared" si="6"/>
        <v>49041423.023364276</v>
      </c>
      <c r="U9" s="87">
        <f t="shared" si="7"/>
        <v>10954534.142848508</v>
      </c>
      <c r="V9" s="87">
        <f t="shared" si="8"/>
        <v>-66088131.04711922</v>
      </c>
      <c r="W9" s="87">
        <f t="shared" si="9"/>
        <v>-65191406.6820881</v>
      </c>
      <c r="X9" s="89">
        <f t="shared" si="10"/>
        <v>529601772.741985</v>
      </c>
    </row>
    <row r="10" spans="1:24" ht="12.75">
      <c r="A10" s="9" t="s">
        <v>11</v>
      </c>
      <c r="B10" s="10" t="s">
        <v>12</v>
      </c>
      <c r="C10" s="11">
        <v>54050.96938200858</v>
      </c>
      <c r="D10" s="12">
        <v>0.04652903320583536</v>
      </c>
      <c r="E10" s="11">
        <v>124285.0693988118</v>
      </c>
      <c r="F10" s="12">
        <v>0.10698909172518471</v>
      </c>
      <c r="G10" s="11">
        <v>16772</v>
      </c>
      <c r="H10" s="12">
        <v>0.00867741806974529</v>
      </c>
      <c r="I10" s="11">
        <v>9990.285734692137</v>
      </c>
      <c r="J10" s="12">
        <v>0.0086</v>
      </c>
      <c r="K10" s="11">
        <v>14172.265809679542</v>
      </c>
      <c r="L10" s="12">
        <v>0.012199999999999999</v>
      </c>
      <c r="M10" s="13">
        <v>1161661.1319409462</v>
      </c>
      <c r="N10" s="90">
        <f t="shared" si="0"/>
        <v>50544090.6254338</v>
      </c>
      <c r="O10" s="90">
        <f t="shared" si="1"/>
        <v>-1598832.160731876</v>
      </c>
      <c r="P10" s="90">
        <f t="shared" si="2"/>
        <v>10102244.608875515</v>
      </c>
      <c r="Q10" s="90">
        <f t="shared" si="3"/>
        <v>-977674.9146200529</v>
      </c>
      <c r="R10" s="90">
        <f t="shared" si="4"/>
        <v>2609583.0283357757</v>
      </c>
      <c r="S10" s="90">
        <f t="shared" si="5"/>
        <v>-782874.9085007329</v>
      </c>
      <c r="T10" s="90">
        <f t="shared" si="6"/>
        <v>5324815.637822432</v>
      </c>
      <c r="U10" s="90">
        <f t="shared" si="7"/>
        <v>-1522247.164886344</v>
      </c>
      <c r="V10" s="90">
        <f t="shared" si="8"/>
        <v>-6369910.475172851</v>
      </c>
      <c r="W10" s="90">
        <f t="shared" si="9"/>
        <v>-4276162.054517421</v>
      </c>
      <c r="X10" s="91">
        <f t="shared" si="10"/>
        <v>53053032.222038254</v>
      </c>
    </row>
    <row r="11" spans="1:24" ht="12.75">
      <c r="A11" s="14" t="s">
        <v>13</v>
      </c>
      <c r="B11" s="15" t="s">
        <v>14</v>
      </c>
      <c r="C11" s="16">
        <v>26577.144932925523</v>
      </c>
      <c r="D11" s="17">
        <v>0.036251452853939714</v>
      </c>
      <c r="E11" s="16">
        <v>81006.17696574325</v>
      </c>
      <c r="F11" s="17">
        <v>0.11049311777329004</v>
      </c>
      <c r="G11" s="16">
        <v>8956</v>
      </c>
      <c r="H11" s="17">
        <v>0.006357418076192477</v>
      </c>
      <c r="I11" s="16">
        <v>7258.019034328665</v>
      </c>
      <c r="J11" s="17">
        <v>0.009899999999999999</v>
      </c>
      <c r="K11" s="16">
        <v>8284.40556443575</v>
      </c>
      <c r="L11" s="17">
        <v>0.0113</v>
      </c>
      <c r="M11" s="18">
        <v>733133.2357907743</v>
      </c>
      <c r="N11" s="87">
        <f t="shared" si="0"/>
        <v>24852794.268333945</v>
      </c>
      <c r="O11" s="87">
        <f t="shared" si="1"/>
        <v>-6102121.637112775</v>
      </c>
      <c r="P11" s="87">
        <f t="shared" si="2"/>
        <v>6584412.902501217</v>
      </c>
      <c r="Q11" s="87">
        <f t="shared" si="3"/>
        <v>-442448.4648071183</v>
      </c>
      <c r="R11" s="87">
        <f t="shared" si="4"/>
        <v>1895882.039244373</v>
      </c>
      <c r="S11" s="87">
        <f t="shared" si="5"/>
        <v>-368255.9658714355</v>
      </c>
      <c r="T11" s="87">
        <f t="shared" si="6"/>
        <v>3112623.831077306</v>
      </c>
      <c r="U11" s="87">
        <f t="shared" si="7"/>
        <v>-933787.149323192</v>
      </c>
      <c r="V11" s="87">
        <f t="shared" si="8"/>
        <v>-2859909.9824042316</v>
      </c>
      <c r="W11" s="87">
        <f t="shared" si="9"/>
        <v>-695805.2285416629</v>
      </c>
      <c r="X11" s="89">
        <f t="shared" si="10"/>
        <v>25043384.61309643</v>
      </c>
    </row>
    <row r="12" spans="1:24" ht="12.75">
      <c r="A12" s="9" t="s">
        <v>15</v>
      </c>
      <c r="B12" s="10" t="s">
        <v>16</v>
      </c>
      <c r="C12" s="11">
        <v>3099.372477386278</v>
      </c>
      <c r="D12" s="12">
        <v>0.02995197110177163</v>
      </c>
      <c r="E12" s="11">
        <v>9012.161228945726</v>
      </c>
      <c r="F12" s="12">
        <v>0.08709246618900242</v>
      </c>
      <c r="G12" s="11">
        <v>1816</v>
      </c>
      <c r="H12" s="12">
        <v>0.0066001083057420215</v>
      </c>
      <c r="I12" s="11">
        <v>1014.085189090909</v>
      </c>
      <c r="J12" s="12">
        <v>0.0098</v>
      </c>
      <c r="K12" s="11">
        <v>1324.5194306493506</v>
      </c>
      <c r="L12" s="12">
        <v>0.0128</v>
      </c>
      <c r="M12" s="13">
        <v>103478.08051948051</v>
      </c>
      <c r="N12" s="90">
        <f t="shared" si="0"/>
        <v>2898282.217138765</v>
      </c>
      <c r="O12" s="90">
        <f t="shared" si="1"/>
        <v>-869484.6651416296</v>
      </c>
      <c r="P12" s="90">
        <f t="shared" si="2"/>
        <v>732534.1461353708</v>
      </c>
      <c r="Q12" s="90">
        <f t="shared" si="3"/>
        <v>-193937.71141096664</v>
      </c>
      <c r="R12" s="90">
        <f t="shared" si="4"/>
        <v>264891.2722835011</v>
      </c>
      <c r="S12" s="90">
        <f t="shared" si="5"/>
        <v>-53608.405790544624</v>
      </c>
      <c r="T12" s="90">
        <f t="shared" si="6"/>
        <v>497649.5552393822</v>
      </c>
      <c r="U12" s="90">
        <f t="shared" si="7"/>
        <v>-124789.18482740306</v>
      </c>
      <c r="V12" s="90">
        <f t="shared" si="8"/>
        <v>-315153.7223626474</v>
      </c>
      <c r="W12" s="90">
        <v>0</v>
      </c>
      <c r="X12" s="91">
        <f t="shared" si="10"/>
        <v>2836383.5012638276</v>
      </c>
    </row>
    <row r="13" spans="1:24" ht="12.75">
      <c r="A13" s="14" t="s">
        <v>17</v>
      </c>
      <c r="B13" s="15" t="s">
        <v>18</v>
      </c>
      <c r="C13" s="16">
        <v>6173.744464467797</v>
      </c>
      <c r="D13" s="17">
        <v>0.030180872935996375</v>
      </c>
      <c r="E13" s="16">
        <v>19668.46967802675</v>
      </c>
      <c r="F13" s="17">
        <v>0.09615098059443164</v>
      </c>
      <c r="G13" s="16">
        <v>1761</v>
      </c>
      <c r="H13" s="17">
        <v>0.0048206029449203</v>
      </c>
      <c r="I13" s="16">
        <v>1943.302718142795</v>
      </c>
      <c r="J13" s="17">
        <v>0.0095</v>
      </c>
      <c r="K13" s="16">
        <v>2577.433078799918</v>
      </c>
      <c r="L13" s="17">
        <v>0.0126</v>
      </c>
      <c r="M13" s="18">
        <v>204558.18085713632</v>
      </c>
      <c r="N13" s="87">
        <f t="shared" si="0"/>
        <v>5773185.999772253</v>
      </c>
      <c r="O13" s="87">
        <f t="shared" si="1"/>
        <v>-1731955.7999316764</v>
      </c>
      <c r="P13" s="87">
        <f t="shared" si="2"/>
        <v>1598709.2635567766</v>
      </c>
      <c r="Q13" s="87">
        <f t="shared" si="3"/>
        <v>-300997.56039440684</v>
      </c>
      <c r="R13" s="87">
        <f t="shared" si="4"/>
        <v>507614.089011889</v>
      </c>
      <c r="S13" s="87">
        <f t="shared" si="5"/>
        <v>-115124.78294569961</v>
      </c>
      <c r="T13" s="87">
        <f t="shared" si="6"/>
        <v>968395.3256127186</v>
      </c>
      <c r="U13" s="87">
        <f t="shared" si="7"/>
        <v>-254168.97933349153</v>
      </c>
      <c r="V13" s="87">
        <f t="shared" si="8"/>
        <v>-644565.7555348361</v>
      </c>
      <c r="W13" s="87">
        <f t="shared" si="9"/>
        <v>13798908.200186472</v>
      </c>
      <c r="X13" s="89">
        <f t="shared" si="10"/>
        <v>19600000</v>
      </c>
    </row>
    <row r="14" spans="1:24" ht="12.75">
      <c r="A14" s="9" t="s">
        <v>19</v>
      </c>
      <c r="B14" s="10" t="s">
        <v>20</v>
      </c>
      <c r="C14" s="11">
        <v>369362.4668911603</v>
      </c>
      <c r="D14" s="12">
        <v>0.07987556741390034</v>
      </c>
      <c r="E14" s="11">
        <v>730409.8016549698</v>
      </c>
      <c r="F14" s="12">
        <v>0.1579529664800963</v>
      </c>
      <c r="G14" s="11">
        <v>94501</v>
      </c>
      <c r="H14" s="12">
        <v>0.01122593250874485</v>
      </c>
      <c r="I14" s="11">
        <v>75837.26354801287</v>
      </c>
      <c r="J14" s="12">
        <v>0.016399999999999998</v>
      </c>
      <c r="K14" s="11">
        <v>112368.62830589713</v>
      </c>
      <c r="L14" s="12">
        <v>0.024300000000000002</v>
      </c>
      <c r="M14" s="13">
        <v>4624223.3870739555</v>
      </c>
      <c r="N14" s="90">
        <f t="shared" si="0"/>
        <v>345397875.6280141</v>
      </c>
      <c r="O14" s="90">
        <f t="shared" si="1"/>
        <v>103619362.68840425</v>
      </c>
      <c r="P14" s="90">
        <f t="shared" si="2"/>
        <v>59369790.086059175</v>
      </c>
      <c r="Q14" s="90">
        <f t="shared" si="3"/>
        <v>17810937.025817756</v>
      </c>
      <c r="R14" s="90">
        <f t="shared" si="4"/>
        <v>19809607.164996706</v>
      </c>
      <c r="S14" s="90">
        <f t="shared" si="5"/>
        <v>5942882.149499013</v>
      </c>
      <c r="T14" s="90">
        <f t="shared" si="6"/>
        <v>42219235.599944405</v>
      </c>
      <c r="U14" s="90">
        <f t="shared" si="7"/>
        <v>12665770.679983323</v>
      </c>
      <c r="V14" s="90">
        <f t="shared" si="8"/>
        <v>1224340.4232884194</v>
      </c>
      <c r="W14" s="90">
        <f t="shared" si="9"/>
        <v>-66695022.827876605</v>
      </c>
      <c r="X14" s="91">
        <f t="shared" si="10"/>
        <v>541364778.6181307</v>
      </c>
    </row>
    <row r="15" spans="1:24" ht="12.75">
      <c r="A15" s="14" t="s">
        <v>21</v>
      </c>
      <c r="B15" s="15" t="s">
        <v>22</v>
      </c>
      <c r="C15" s="16">
        <v>103660.19491935085</v>
      </c>
      <c r="D15" s="17">
        <v>0.05230533990407077</v>
      </c>
      <c r="E15" s="16">
        <v>228429.24305387773</v>
      </c>
      <c r="F15" s="17">
        <v>0.11526188245409381</v>
      </c>
      <c r="G15" s="16">
        <v>70578</v>
      </c>
      <c r="H15" s="17">
        <v>0.01859949575965334</v>
      </c>
      <c r="I15" s="16">
        <v>31312.88474044074</v>
      </c>
      <c r="J15" s="17">
        <v>0.0158</v>
      </c>
      <c r="K15" s="16">
        <v>43005.67081440279</v>
      </c>
      <c r="L15" s="17">
        <v>0.0217</v>
      </c>
      <c r="M15" s="18">
        <v>1981828.1481291605</v>
      </c>
      <c r="N15" s="87">
        <f t="shared" si="0"/>
        <v>96934622.0087922</v>
      </c>
      <c r="O15" s="87">
        <f t="shared" si="1"/>
        <v>8586927.543137427</v>
      </c>
      <c r="P15" s="87">
        <f t="shared" si="2"/>
        <v>18567379.817326736</v>
      </c>
      <c r="Q15" s="87">
        <f t="shared" si="3"/>
        <v>-500159.44820143876</v>
      </c>
      <c r="R15" s="87">
        <f t="shared" si="4"/>
        <v>8179302.850481138</v>
      </c>
      <c r="S15" s="87">
        <f t="shared" si="5"/>
        <v>2338957.8594062175</v>
      </c>
      <c r="T15" s="87">
        <f t="shared" si="6"/>
        <v>16158126.83326702</v>
      </c>
      <c r="U15" s="87">
        <f t="shared" si="7"/>
        <v>4365938.262066582</v>
      </c>
      <c r="V15" s="87">
        <f t="shared" si="8"/>
        <v>15463109.572627602</v>
      </c>
      <c r="W15" s="87">
        <f t="shared" si="9"/>
        <v>-17056754.655474044</v>
      </c>
      <c r="X15" s="89">
        <f t="shared" si="10"/>
        <v>153037450.64342946</v>
      </c>
    </row>
    <row r="16" spans="1:24" ht="12.75">
      <c r="A16" s="9" t="s">
        <v>23</v>
      </c>
      <c r="B16" s="10" t="s">
        <v>24</v>
      </c>
      <c r="C16" s="11">
        <v>6152.3956246362795</v>
      </c>
      <c r="D16" s="12">
        <v>0.02343460277167626</v>
      </c>
      <c r="E16" s="11">
        <v>28497.523013452752</v>
      </c>
      <c r="F16" s="12">
        <v>0.10854765729348702</v>
      </c>
      <c r="G16" s="11">
        <v>117</v>
      </c>
      <c r="H16" s="12">
        <v>0.00028016503396701716</v>
      </c>
      <c r="I16" s="11">
        <v>1680.2218659862397</v>
      </c>
      <c r="J16" s="12">
        <v>0.0064</v>
      </c>
      <c r="K16" s="11">
        <v>2257.7981324190096</v>
      </c>
      <c r="L16" s="12">
        <v>0.0086</v>
      </c>
      <c r="M16" s="13">
        <v>262534.6665603499</v>
      </c>
      <c r="N16" s="90">
        <f t="shared" si="0"/>
        <v>5753222.293153676</v>
      </c>
      <c r="O16" s="90">
        <f t="shared" si="1"/>
        <v>-1725966.687946103</v>
      </c>
      <c r="P16" s="90">
        <f t="shared" si="2"/>
        <v>2316359.8783146455</v>
      </c>
      <c r="Q16" s="90">
        <f t="shared" si="3"/>
        <v>-193694.67407267244</v>
      </c>
      <c r="R16" s="90">
        <f t="shared" si="4"/>
        <v>438894.2000017258</v>
      </c>
      <c r="S16" s="90">
        <f t="shared" si="5"/>
        <v>-131668.26000051777</v>
      </c>
      <c r="T16" s="90">
        <f t="shared" si="6"/>
        <v>848301.8145439983</v>
      </c>
      <c r="U16" s="90">
        <f t="shared" si="7"/>
        <v>-254490.54436319953</v>
      </c>
      <c r="V16" s="90">
        <f t="shared" si="8"/>
        <v>-705095.801963155</v>
      </c>
      <c r="W16" s="90">
        <f t="shared" si="9"/>
        <v>13254137.782331603</v>
      </c>
      <c r="X16" s="91">
        <f t="shared" si="10"/>
        <v>19600000</v>
      </c>
    </row>
    <row r="17" spans="1:24" ht="12.75">
      <c r="A17" s="14" t="s">
        <v>25</v>
      </c>
      <c r="B17" s="15" t="s">
        <v>26</v>
      </c>
      <c r="C17" s="16">
        <v>21996.13104777125</v>
      </c>
      <c r="D17" s="17">
        <v>0.03522904988598481</v>
      </c>
      <c r="E17" s="16">
        <v>45811.651115552864</v>
      </c>
      <c r="F17" s="17">
        <v>0.07337203706433962</v>
      </c>
      <c r="G17" s="16">
        <v>14179</v>
      </c>
      <c r="H17" s="17">
        <v>0.01196632987539961</v>
      </c>
      <c r="I17" s="16">
        <v>5744.248178546598</v>
      </c>
      <c r="J17" s="17">
        <v>0.0092</v>
      </c>
      <c r="K17" s="16">
        <v>6306.185500360939</v>
      </c>
      <c r="L17" s="17">
        <v>0.0101</v>
      </c>
      <c r="M17" s="18">
        <v>624374.8020159346</v>
      </c>
      <c r="N17" s="87">
        <f t="shared" si="0"/>
        <v>20569000.95963004</v>
      </c>
      <c r="O17" s="87">
        <f t="shared" si="1"/>
        <v>-5487994.038130728</v>
      </c>
      <c r="P17" s="87">
        <f t="shared" si="2"/>
        <v>3723701.5495459377</v>
      </c>
      <c r="Q17" s="87">
        <f t="shared" si="3"/>
        <v>-1117110.4648637816</v>
      </c>
      <c r="R17" s="87">
        <f t="shared" si="4"/>
        <v>1500466.8490341064</v>
      </c>
      <c r="S17" s="87">
        <f t="shared" si="5"/>
        <v>-376936.5537240885</v>
      </c>
      <c r="T17" s="87">
        <f t="shared" si="6"/>
        <v>2369365.323672989</v>
      </c>
      <c r="U17" s="87">
        <f t="shared" si="7"/>
        <v>-710809.5971018968</v>
      </c>
      <c r="V17" s="87">
        <f t="shared" si="8"/>
        <v>1394084.7077070507</v>
      </c>
      <c r="W17" s="87">
        <f t="shared" si="9"/>
        <v>-256571.65899554067</v>
      </c>
      <c r="X17" s="89">
        <f t="shared" si="10"/>
        <v>21607197.076774087</v>
      </c>
    </row>
    <row r="18" spans="1:24" ht="12.75">
      <c r="A18" s="9" t="s">
        <v>27</v>
      </c>
      <c r="B18" s="10" t="s">
        <v>28</v>
      </c>
      <c r="C18" s="11">
        <v>9679.70613926098</v>
      </c>
      <c r="D18" s="12">
        <v>0.02684194140848463</v>
      </c>
      <c r="E18" s="11">
        <v>31934.086042197556</v>
      </c>
      <c r="F18" s="12">
        <v>0.08855360422580107</v>
      </c>
      <c r="G18" s="11">
        <v>839</v>
      </c>
      <c r="H18" s="12">
        <v>0.0015735390374592316</v>
      </c>
      <c r="I18" s="11">
        <v>3101.320859426765</v>
      </c>
      <c r="J18" s="12">
        <v>0.0086</v>
      </c>
      <c r="K18" s="11">
        <v>3209.5064708021173</v>
      </c>
      <c r="L18" s="12">
        <v>0.0089</v>
      </c>
      <c r="M18" s="13">
        <v>360618.70458450756</v>
      </c>
      <c r="N18" s="90">
        <f t="shared" si="0"/>
        <v>9051677.517059064</v>
      </c>
      <c r="O18" s="90">
        <f t="shared" si="1"/>
        <v>-2715503.2551177195</v>
      </c>
      <c r="P18" s="90">
        <f t="shared" si="2"/>
        <v>2595693.5142705184</v>
      </c>
      <c r="Q18" s="90">
        <f t="shared" si="3"/>
        <v>-655188.9608054416</v>
      </c>
      <c r="R18" s="90">
        <f t="shared" si="4"/>
        <v>810102.3829658469</v>
      </c>
      <c r="S18" s="90">
        <f t="shared" si="5"/>
        <v>-243030.7148897541</v>
      </c>
      <c r="T18" s="90">
        <f t="shared" si="6"/>
        <v>1205878.4724279619</v>
      </c>
      <c r="U18" s="90">
        <f t="shared" si="7"/>
        <v>-361763.54172838863</v>
      </c>
      <c r="V18" s="90">
        <f t="shared" si="8"/>
        <v>-968786.5414182085</v>
      </c>
      <c r="W18" s="90">
        <f t="shared" si="9"/>
        <v>10880921.12723612</v>
      </c>
      <c r="X18" s="91">
        <f t="shared" si="10"/>
        <v>19600000</v>
      </c>
    </row>
    <row r="19" spans="1:24" ht="12.75">
      <c r="A19" s="14" t="s">
        <v>29</v>
      </c>
      <c r="B19" s="15" t="s">
        <v>30</v>
      </c>
      <c r="C19" s="16">
        <v>131025.92629851394</v>
      </c>
      <c r="D19" s="17">
        <v>0.050669689571047484</v>
      </c>
      <c r="E19" s="16">
        <v>298961.8245324336</v>
      </c>
      <c r="F19" s="17">
        <v>0.115613018511621</v>
      </c>
      <c r="G19" s="16">
        <v>74959</v>
      </c>
      <c r="H19" s="17">
        <v>0.01540632884647479</v>
      </c>
      <c r="I19" s="16">
        <v>31547.78161015728</v>
      </c>
      <c r="J19" s="17">
        <v>0.012199999999999999</v>
      </c>
      <c r="K19" s="16">
        <v>39822.609573477224</v>
      </c>
      <c r="L19" s="17">
        <v>0.0154</v>
      </c>
      <c r="M19" s="18">
        <v>2585883.738537482</v>
      </c>
      <c r="N19" s="87">
        <f t="shared" si="0"/>
        <v>122524838.47806612</v>
      </c>
      <c r="O19" s="87">
        <f t="shared" si="1"/>
        <v>6682920.051829633</v>
      </c>
      <c r="P19" s="87">
        <f t="shared" si="2"/>
        <v>24300469.032616068</v>
      </c>
      <c r="Q19" s="87">
        <f t="shared" si="3"/>
        <v>-582559.48615343</v>
      </c>
      <c r="R19" s="87">
        <f t="shared" si="4"/>
        <v>8240660.7436285615</v>
      </c>
      <c r="S19" s="87">
        <f t="shared" si="5"/>
        <v>-58040.02341851651</v>
      </c>
      <c r="T19" s="87">
        <f t="shared" si="6"/>
        <v>14962184.384865385</v>
      </c>
      <c r="U19" s="87">
        <f t="shared" si="7"/>
        <v>-1474780.586012456</v>
      </c>
      <c r="V19" s="87">
        <f t="shared" si="8"/>
        <v>17459569.259542152</v>
      </c>
      <c r="W19" s="87">
        <f t="shared" si="9"/>
        <v>-19545783.07293189</v>
      </c>
      <c r="X19" s="89">
        <f t="shared" si="10"/>
        <v>172509478.78203166</v>
      </c>
    </row>
    <row r="20" spans="1:24" ht="12.75">
      <c r="A20" s="9" t="s">
        <v>31</v>
      </c>
      <c r="B20" s="10" t="s">
        <v>32</v>
      </c>
      <c r="C20" s="11">
        <v>94533.87969935173</v>
      </c>
      <c r="D20" s="12">
        <v>0.06699799248046234</v>
      </c>
      <c r="E20" s="11">
        <v>188144.7035978523</v>
      </c>
      <c r="F20" s="12">
        <v>0.13334179742730018</v>
      </c>
      <c r="G20" s="11">
        <v>69183</v>
      </c>
      <c r="H20" s="12">
        <v>0.026165739420505818</v>
      </c>
      <c r="I20" s="11">
        <v>21588.234301525754</v>
      </c>
      <c r="J20" s="12">
        <v>0.015300000000000001</v>
      </c>
      <c r="K20" s="11">
        <v>30336.407678614618</v>
      </c>
      <c r="L20" s="12">
        <v>0.0215</v>
      </c>
      <c r="M20" s="13">
        <v>1410995.7059820753</v>
      </c>
      <c r="N20" s="90">
        <f t="shared" si="0"/>
        <v>88400430.87716278</v>
      </c>
      <c r="O20" s="90">
        <f t="shared" si="1"/>
        <v>26520129.26314884</v>
      </c>
      <c r="P20" s="90">
        <f t="shared" si="2"/>
        <v>15292937.653764999</v>
      </c>
      <c r="Q20" s="90">
        <f t="shared" si="3"/>
        <v>1922268.7905683052</v>
      </c>
      <c r="R20" s="90">
        <f t="shared" si="4"/>
        <v>5639106.962613208</v>
      </c>
      <c r="S20" s="90">
        <f t="shared" si="5"/>
        <v>1383078.8744829863</v>
      </c>
      <c r="T20" s="90">
        <f t="shared" si="6"/>
        <v>11398020.625051782</v>
      </c>
      <c r="U20" s="90">
        <f t="shared" si="7"/>
        <v>2946318.204028579</v>
      </c>
      <c r="V20" s="90">
        <f t="shared" si="8"/>
        <v>15350229.125082163</v>
      </c>
      <c r="W20" s="90">
        <f t="shared" si="9"/>
        <v>-16916024.219714444</v>
      </c>
      <c r="X20" s="91">
        <f t="shared" si="10"/>
        <v>151936496.15618923</v>
      </c>
    </row>
    <row r="21" spans="1:24" ht="12.75">
      <c r="A21" s="14" t="s">
        <v>33</v>
      </c>
      <c r="B21" s="15" t="s">
        <v>34</v>
      </c>
      <c r="C21" s="16">
        <v>19394.898035968217</v>
      </c>
      <c r="D21" s="17">
        <v>0.034722433830689084</v>
      </c>
      <c r="E21" s="16">
        <v>50318.989508011204</v>
      </c>
      <c r="F21" s="17">
        <v>0.09008543279675123</v>
      </c>
      <c r="G21" s="16">
        <v>21630</v>
      </c>
      <c r="H21" s="17">
        <v>0.019334199186050772</v>
      </c>
      <c r="I21" s="16">
        <v>5418.125695515457</v>
      </c>
      <c r="J21" s="17">
        <v>0.0097</v>
      </c>
      <c r="K21" s="16">
        <v>6926.26377571048</v>
      </c>
      <c r="L21" s="17">
        <v>0.0124</v>
      </c>
      <c r="M21" s="18">
        <v>558569.6593314904</v>
      </c>
      <c r="N21" s="87">
        <f t="shared" si="0"/>
        <v>18136538.441571925</v>
      </c>
      <c r="O21" s="87">
        <f t="shared" si="1"/>
        <v>-5030218.363193876</v>
      </c>
      <c r="P21" s="87">
        <f t="shared" si="2"/>
        <v>4090070.8583925012</v>
      </c>
      <c r="Q21" s="87">
        <f t="shared" si="3"/>
        <v>-979497.747636974</v>
      </c>
      <c r="R21" s="87">
        <f t="shared" si="4"/>
        <v>1415279.7263153372</v>
      </c>
      <c r="S21" s="87">
        <f t="shared" si="5"/>
        <v>-297941.71075860865</v>
      </c>
      <c r="T21" s="87">
        <f t="shared" si="6"/>
        <v>2602341.655164041</v>
      </c>
      <c r="U21" s="87">
        <f t="shared" si="7"/>
        <v>-713486.5888021602</v>
      </c>
      <c r="V21" s="87">
        <f t="shared" si="8"/>
        <v>1922308.6271052207</v>
      </c>
      <c r="W21" s="87">
        <f t="shared" si="9"/>
        <v>-175152.40252166905</v>
      </c>
      <c r="X21" s="89">
        <f t="shared" si="10"/>
        <v>20970242.49563574</v>
      </c>
    </row>
    <row r="22" spans="1:24" ht="12.75">
      <c r="A22" s="9" t="s">
        <v>35</v>
      </c>
      <c r="B22" s="10" t="s">
        <v>36</v>
      </c>
      <c r="C22" s="11">
        <v>38217.728627633696</v>
      </c>
      <c r="D22" s="12">
        <v>0.04528258825583854</v>
      </c>
      <c r="E22" s="11">
        <v>93233.225426348</v>
      </c>
      <c r="F22" s="12">
        <v>0.11046814947794806</v>
      </c>
      <c r="G22" s="11">
        <v>19647</v>
      </c>
      <c r="H22" s="12">
        <v>0.011170303492034614</v>
      </c>
      <c r="I22" s="11">
        <v>10043.396108441353</v>
      </c>
      <c r="J22" s="12">
        <v>0.011899999999999999</v>
      </c>
      <c r="K22" s="11">
        <v>12997.336140335869</v>
      </c>
      <c r="L22" s="12">
        <v>0.0154</v>
      </c>
      <c r="M22" s="13">
        <v>843982.8662555759</v>
      </c>
      <c r="N22" s="90">
        <f t="shared" si="0"/>
        <v>35738125.72353851</v>
      </c>
      <c r="O22" s="90">
        <f t="shared" si="1"/>
        <v>-2057571.8523252672</v>
      </c>
      <c r="P22" s="90">
        <f t="shared" si="2"/>
        <v>7578262.244108335</v>
      </c>
      <c r="Q22" s="90">
        <f t="shared" si="3"/>
        <v>-510828.90506216156</v>
      </c>
      <c r="R22" s="90">
        <f t="shared" si="4"/>
        <v>2623456.0980001637</v>
      </c>
      <c r="S22" s="90">
        <f t="shared" si="5"/>
        <v>-82534.19032311483</v>
      </c>
      <c r="T22" s="90">
        <f t="shared" si="6"/>
        <v>4883370.073600109</v>
      </c>
      <c r="U22" s="90">
        <f t="shared" si="7"/>
        <v>-481340.10339723906</v>
      </c>
      <c r="V22" s="90">
        <f t="shared" si="8"/>
        <v>-140584.23129083356</v>
      </c>
      <c r="W22" s="90">
        <f t="shared" si="9"/>
        <v>-3167845.19629724</v>
      </c>
      <c r="X22" s="91">
        <f t="shared" si="10"/>
        <v>44382509.66055125</v>
      </c>
    </row>
    <row r="23" spans="1:24" ht="12.75">
      <c r="A23" s="14" t="s">
        <v>37</v>
      </c>
      <c r="B23" s="15" t="s">
        <v>38</v>
      </c>
      <c r="C23" s="16">
        <v>27404.373814363047</v>
      </c>
      <c r="D23" s="17">
        <v>0.03938292632089397</v>
      </c>
      <c r="E23" s="16">
        <v>89724.57159314984</v>
      </c>
      <c r="F23" s="17">
        <v>0.1289435115782421</v>
      </c>
      <c r="G23" s="16">
        <v>25463</v>
      </c>
      <c r="H23" s="17">
        <v>0.014544767014115787</v>
      </c>
      <c r="I23" s="16">
        <v>9463.478687148949</v>
      </c>
      <c r="J23" s="17">
        <v>0.013600000000000001</v>
      </c>
      <c r="K23" s="16">
        <v>13568.958411720918</v>
      </c>
      <c r="L23" s="17">
        <v>0.0195</v>
      </c>
      <c r="M23" s="18">
        <v>695844.0211138933</v>
      </c>
      <c r="N23" s="87">
        <f t="shared" si="0"/>
        <v>25626351.74619986</v>
      </c>
      <c r="O23" s="87">
        <f t="shared" si="1"/>
        <v>-4621918.088478028</v>
      </c>
      <c r="P23" s="87">
        <f t="shared" si="2"/>
        <v>7293068.862133401</v>
      </c>
      <c r="Q23" s="87">
        <f t="shared" si="3"/>
        <v>645913.1821397431</v>
      </c>
      <c r="R23" s="87">
        <f t="shared" si="4"/>
        <v>2471974.678886625</v>
      </c>
      <c r="S23" s="87">
        <f t="shared" si="5"/>
        <v>264260.87437850045</v>
      </c>
      <c r="T23" s="87">
        <f t="shared" si="6"/>
        <v>5098140.474499576</v>
      </c>
      <c r="U23" s="87">
        <f t="shared" si="7"/>
        <v>721002.7439123626</v>
      </c>
      <c r="V23" s="87">
        <f t="shared" si="8"/>
        <v>3749879.447367207</v>
      </c>
      <c r="W23" s="87">
        <f t="shared" si="9"/>
        <v>-2453623.506327895</v>
      </c>
      <c r="X23" s="89">
        <f t="shared" si="10"/>
        <v>38795050.41471135</v>
      </c>
    </row>
    <row r="24" spans="1:24" ht="12.75">
      <c r="A24" s="9" t="s">
        <v>39</v>
      </c>
      <c r="B24" s="10" t="s">
        <v>40</v>
      </c>
      <c r="C24" s="11">
        <v>53398.979115138995</v>
      </c>
      <c r="D24" s="12">
        <v>0.04155917474299574</v>
      </c>
      <c r="E24" s="11">
        <v>129773.4521925979</v>
      </c>
      <c r="F24" s="12">
        <v>0.10099963830853363</v>
      </c>
      <c r="G24" s="11">
        <v>6462</v>
      </c>
      <c r="H24" s="12">
        <v>0.0025010111252808413</v>
      </c>
      <c r="I24" s="11">
        <v>13876.814879263165</v>
      </c>
      <c r="J24" s="12">
        <v>0.0108</v>
      </c>
      <c r="K24" s="11">
        <v>24798.38214534991</v>
      </c>
      <c r="L24" s="12">
        <v>0.019299999999999998</v>
      </c>
      <c r="M24" s="13">
        <v>1284890.2665984412</v>
      </c>
      <c r="N24" s="90">
        <f t="shared" si="0"/>
        <v>49934402.112677425</v>
      </c>
      <c r="O24" s="90">
        <f t="shared" si="1"/>
        <v>-6744424.4438384</v>
      </c>
      <c r="P24" s="90">
        <f t="shared" si="2"/>
        <v>10548356.0022888</v>
      </c>
      <c r="Q24" s="90">
        <f t="shared" si="3"/>
        <v>-1554216.7099800394</v>
      </c>
      <c r="R24" s="90">
        <f t="shared" si="4"/>
        <v>3624791.2780443067</v>
      </c>
      <c r="S24" s="90">
        <f t="shared" si="5"/>
        <v>-438559.86476180726</v>
      </c>
      <c r="T24" s="90">
        <f t="shared" si="6"/>
        <v>9317269.010722965</v>
      </c>
      <c r="U24" s="90">
        <f t="shared" si="7"/>
        <v>1208615.0117311839</v>
      </c>
      <c r="V24" s="90">
        <f t="shared" si="8"/>
        <v>-6589623.239688442</v>
      </c>
      <c r="W24" s="90">
        <f t="shared" si="9"/>
        <v>-4500278.859574307</v>
      </c>
      <c r="X24" s="91">
        <f t="shared" si="10"/>
        <v>54806330.29762168</v>
      </c>
    </row>
    <row r="25" spans="1:24" ht="12.75">
      <c r="A25" s="14" t="s">
        <v>41</v>
      </c>
      <c r="B25" s="15" t="s">
        <v>42</v>
      </c>
      <c r="C25" s="16">
        <v>42237.64116586392</v>
      </c>
      <c r="D25" s="17">
        <v>0.03277382644466062</v>
      </c>
      <c r="E25" s="16">
        <v>143043.34698479372</v>
      </c>
      <c r="F25" s="17">
        <v>0.11099288925092388</v>
      </c>
      <c r="G25" s="16">
        <v>24093</v>
      </c>
      <c r="H25" s="17">
        <v>0.010760939037424557</v>
      </c>
      <c r="I25" s="16">
        <v>15594.012465096695</v>
      </c>
      <c r="J25" s="17">
        <v>0.0121</v>
      </c>
      <c r="K25" s="16">
        <v>23326.580629607455</v>
      </c>
      <c r="L25" s="17">
        <v>0.0181</v>
      </c>
      <c r="M25" s="18">
        <v>1288761.360751793</v>
      </c>
      <c r="N25" s="87">
        <f t="shared" si="0"/>
        <v>39497222.479095645</v>
      </c>
      <c r="O25" s="87">
        <f t="shared" si="1"/>
        <v>-11849166.743728695</v>
      </c>
      <c r="P25" s="87">
        <f t="shared" si="2"/>
        <v>11626970.865467912</v>
      </c>
      <c r="Q25" s="87">
        <f t="shared" si="3"/>
        <v>-732233.8118963962</v>
      </c>
      <c r="R25" s="87">
        <f t="shared" si="4"/>
        <v>4073343.9816700993</v>
      </c>
      <c r="S25" s="87">
        <f t="shared" si="5"/>
        <v>-61841.98960309039</v>
      </c>
      <c r="T25" s="87">
        <f t="shared" si="6"/>
        <v>8764282.506515322</v>
      </c>
      <c r="U25" s="87">
        <f t="shared" si="7"/>
        <v>521266.35691680503</v>
      </c>
      <c r="V25" s="87">
        <f t="shared" si="8"/>
        <v>-2047018.3557983595</v>
      </c>
      <c r="W25" s="87">
        <f t="shared" si="9"/>
        <v>-3422002.942113707</v>
      </c>
      <c r="X25" s="89">
        <f t="shared" si="10"/>
        <v>46370822.34652554</v>
      </c>
    </row>
    <row r="26" spans="1:24" ht="12.75">
      <c r="A26" s="9" t="s">
        <v>43</v>
      </c>
      <c r="B26" s="10" t="s">
        <v>44</v>
      </c>
      <c r="C26" s="11">
        <v>13877.026463817889</v>
      </c>
      <c r="D26" s="12">
        <v>0.04283263743418446</v>
      </c>
      <c r="E26" s="11">
        <v>39568.5587113289</v>
      </c>
      <c r="F26" s="12">
        <v>0.12213176457467867</v>
      </c>
      <c r="G26" s="11">
        <v>2179</v>
      </c>
      <c r="H26" s="12">
        <v>0.004178219568410435</v>
      </c>
      <c r="I26" s="11">
        <v>3725.7991544209995</v>
      </c>
      <c r="J26" s="12">
        <v>0.0115</v>
      </c>
      <c r="K26" s="11">
        <v>4146.976450138156</v>
      </c>
      <c r="L26" s="12">
        <v>0.0128</v>
      </c>
      <c r="M26" s="13">
        <v>323982.53516704345</v>
      </c>
      <c r="N26" s="90">
        <f t="shared" si="0"/>
        <v>12976671.671539407</v>
      </c>
      <c r="O26" s="90">
        <f t="shared" si="1"/>
        <v>-1408776.5157010902</v>
      </c>
      <c r="P26" s="90">
        <f t="shared" si="2"/>
        <v>3216245.2083429275</v>
      </c>
      <c r="Q26" s="90">
        <f t="shared" si="3"/>
        <v>99894.3254229923</v>
      </c>
      <c r="R26" s="90">
        <f t="shared" si="4"/>
        <v>973223.6393000869</v>
      </c>
      <c r="S26" s="90">
        <f t="shared" si="5"/>
        <v>-62301.945520747715</v>
      </c>
      <c r="T26" s="90">
        <f t="shared" si="6"/>
        <v>1558105.4820673252</v>
      </c>
      <c r="U26" s="90">
        <f t="shared" si="7"/>
        <v>-390706.09213899786</v>
      </c>
      <c r="V26" s="90">
        <f t="shared" si="8"/>
        <v>-1696235.5773311898</v>
      </c>
      <c r="W26" s="90">
        <f t="shared" si="9"/>
        <v>4333879.804019287</v>
      </c>
      <c r="X26" s="91">
        <f t="shared" si="10"/>
        <v>19600000</v>
      </c>
    </row>
    <row r="27" spans="1:24" ht="12.75">
      <c r="A27" s="14" t="s">
        <v>45</v>
      </c>
      <c r="B27" s="15" t="s">
        <v>46</v>
      </c>
      <c r="C27" s="16">
        <v>163105.5708937972</v>
      </c>
      <c r="D27" s="17">
        <v>0.07074273137889567</v>
      </c>
      <c r="E27" s="16">
        <v>305209.2524445154</v>
      </c>
      <c r="F27" s="17">
        <v>0.13237644822134653</v>
      </c>
      <c r="G27" s="16">
        <v>105427</v>
      </c>
      <c r="H27" s="17">
        <v>0.02514512582580226</v>
      </c>
      <c r="I27" s="16">
        <v>38964.90981301721</v>
      </c>
      <c r="J27" s="17">
        <v>0.0169</v>
      </c>
      <c r="K27" s="16">
        <v>58793.20711431591</v>
      </c>
      <c r="L27" s="17">
        <v>0.0255</v>
      </c>
      <c r="M27" s="18">
        <v>2305615.965267291</v>
      </c>
      <c r="N27" s="87">
        <f t="shared" si="0"/>
        <v>152523124.95089704</v>
      </c>
      <c r="O27" s="87">
        <f t="shared" si="1"/>
        <v>45756937.48526912</v>
      </c>
      <c r="P27" s="87">
        <f t="shared" si="2"/>
        <v>24808277.776252415</v>
      </c>
      <c r="Q27" s="87">
        <f t="shared" si="3"/>
        <v>2916134.7602468957</v>
      </c>
      <c r="R27" s="87">
        <f t="shared" si="4"/>
        <v>10178104.015141794</v>
      </c>
      <c r="S27" s="87">
        <f t="shared" si="5"/>
        <v>3053431.2045425386</v>
      </c>
      <c r="T27" s="87">
        <f t="shared" si="6"/>
        <v>22089833.25914075</v>
      </c>
      <c r="U27" s="87">
        <f t="shared" si="7"/>
        <v>6626949.977742226</v>
      </c>
      <c r="V27" s="87">
        <f t="shared" si="8"/>
        <v>26795279.342923306</v>
      </c>
      <c r="W27" s="87">
        <f t="shared" si="9"/>
        <v>-31184809.819620207</v>
      </c>
      <c r="X27" s="89">
        <f t="shared" si="10"/>
        <v>263563262.95253593</v>
      </c>
    </row>
    <row r="28" spans="1:24" ht="12.75">
      <c r="A28" s="9" t="s">
        <v>47</v>
      </c>
      <c r="B28" s="10" t="s">
        <v>48</v>
      </c>
      <c r="C28" s="11">
        <v>60025.32034430704</v>
      </c>
      <c r="D28" s="12">
        <v>0.04753146153769012</v>
      </c>
      <c r="E28" s="11">
        <v>117777.04464917869</v>
      </c>
      <c r="F28" s="12">
        <v>0.0932625604603906</v>
      </c>
      <c r="G28" s="11">
        <v>8724</v>
      </c>
      <c r="H28" s="12">
        <v>0.0040615773110346965</v>
      </c>
      <c r="I28" s="11">
        <v>11491.975997835878</v>
      </c>
      <c r="J28" s="12">
        <v>0.0091</v>
      </c>
      <c r="K28" s="11">
        <v>15785.681315708624</v>
      </c>
      <c r="L28" s="12">
        <v>0.0125</v>
      </c>
      <c r="M28" s="13">
        <v>1262854.5052566899</v>
      </c>
      <c r="N28" s="90">
        <f t="shared" si="0"/>
        <v>56130819.96477983</v>
      </c>
      <c r="O28" s="90">
        <f t="shared" si="1"/>
        <v>-604516.1161974301</v>
      </c>
      <c r="P28" s="90">
        <f t="shared" si="2"/>
        <v>9573253.811674915</v>
      </c>
      <c r="Q28" s="90">
        <f t="shared" si="3"/>
        <v>-2035847.622391022</v>
      </c>
      <c r="R28" s="90">
        <f t="shared" si="4"/>
        <v>3001842.6221638746</v>
      </c>
      <c r="S28" s="90">
        <f t="shared" si="5"/>
        <v>-778533.4102228214</v>
      </c>
      <c r="T28" s="90">
        <f t="shared" si="6"/>
        <v>5931009.469647204</v>
      </c>
      <c r="U28" s="90">
        <f t="shared" si="7"/>
        <v>-1591393.8147765077</v>
      </c>
      <c r="V28" s="90">
        <f t="shared" si="8"/>
        <v>-6962663.490467804</v>
      </c>
      <c r="W28" s="90">
        <f t="shared" si="9"/>
        <v>-4880796.529299215</v>
      </c>
      <c r="X28" s="91">
        <f t="shared" si="10"/>
        <v>57783174.88491103</v>
      </c>
    </row>
    <row r="29" spans="1:24" ht="12.75">
      <c r="A29" s="14" t="s">
        <v>49</v>
      </c>
      <c r="B29" s="15" t="s">
        <v>50</v>
      </c>
      <c r="C29" s="16">
        <v>52258.077654914574</v>
      </c>
      <c r="D29" s="17">
        <v>0.04027293160696723</v>
      </c>
      <c r="E29" s="16">
        <v>144954.98345285223</v>
      </c>
      <c r="F29" s="17">
        <v>0.11171023498482587</v>
      </c>
      <c r="G29" s="16">
        <v>49588</v>
      </c>
      <c r="H29" s="17">
        <v>0.02022699693054465</v>
      </c>
      <c r="I29" s="16">
        <v>16868.774693232433</v>
      </c>
      <c r="J29" s="17">
        <v>0.013000000000000001</v>
      </c>
      <c r="K29" s="16">
        <v>21021.08846387427</v>
      </c>
      <c r="L29" s="17">
        <v>0.016200000000000003</v>
      </c>
      <c r="M29" s="18">
        <v>1297598.0533255718</v>
      </c>
      <c r="N29" s="87">
        <f t="shared" si="0"/>
        <v>48867523.43391192</v>
      </c>
      <c r="O29" s="87">
        <f t="shared" si="1"/>
        <v>-7908481.95903952</v>
      </c>
      <c r="P29" s="87">
        <f t="shared" si="2"/>
        <v>11782354.12507414</v>
      </c>
      <c r="Q29" s="87">
        <f t="shared" si="3"/>
        <v>-670665.8580500683</v>
      </c>
      <c r="R29" s="87">
        <f t="shared" si="4"/>
        <v>4406327.238010268</v>
      </c>
      <c r="S29" s="87">
        <f t="shared" si="5"/>
        <v>255870.12930118514</v>
      </c>
      <c r="T29" s="87">
        <f t="shared" si="6"/>
        <v>7898061.049633773</v>
      </c>
      <c r="U29" s="87">
        <f t="shared" si="7"/>
        <v>-408641.88478871225</v>
      </c>
      <c r="V29" s="87">
        <f t="shared" si="8"/>
        <v>6422234.6274053035</v>
      </c>
      <c r="W29" s="87">
        <f t="shared" si="9"/>
        <v>-5785305.096620977</v>
      </c>
      <c r="X29" s="89">
        <f t="shared" si="10"/>
        <v>64859275.8048373</v>
      </c>
    </row>
    <row r="30" spans="1:24" ht="12.75">
      <c r="A30" s="9" t="s">
        <v>51</v>
      </c>
      <c r="B30" s="10" t="s">
        <v>52</v>
      </c>
      <c r="C30" s="11">
        <v>26855.817946737567</v>
      </c>
      <c r="D30" s="12">
        <v>0.05213521623511824</v>
      </c>
      <c r="E30" s="11">
        <v>72865.75107912152</v>
      </c>
      <c r="F30" s="12">
        <v>0.14145432830154356</v>
      </c>
      <c r="G30" s="11">
        <v>36419</v>
      </c>
      <c r="H30" s="12">
        <v>0.031608529503406126</v>
      </c>
      <c r="I30" s="11">
        <v>9838.76465515007</v>
      </c>
      <c r="J30" s="12">
        <v>0.0191</v>
      </c>
      <c r="K30" s="11">
        <v>15350.53333630744</v>
      </c>
      <c r="L30" s="12">
        <v>0.0298</v>
      </c>
      <c r="M30" s="13">
        <v>515118.56833246443</v>
      </c>
      <c r="N30" s="90">
        <f t="shared" si="0"/>
        <v>25113386.709617097</v>
      </c>
      <c r="O30" s="90">
        <f t="shared" si="1"/>
        <v>2135745.3458568132</v>
      </c>
      <c r="P30" s="90">
        <f t="shared" si="2"/>
        <v>5922735.889124893</v>
      </c>
      <c r="Q30" s="90">
        <f t="shared" si="3"/>
        <v>1150100.6235402531</v>
      </c>
      <c r="R30" s="90">
        <f t="shared" si="4"/>
        <v>2570003.8963560956</v>
      </c>
      <c r="S30" s="90">
        <f t="shared" si="5"/>
        <v>771001.1689068287</v>
      </c>
      <c r="T30" s="90">
        <f t="shared" si="6"/>
        <v>5767515.304592826</v>
      </c>
      <c r="U30" s="90">
        <f t="shared" si="7"/>
        <v>1730254.5913778483</v>
      </c>
      <c r="V30" s="90">
        <f t="shared" si="8"/>
        <v>4516074.35293727</v>
      </c>
      <c r="W30" s="90">
        <f t="shared" si="9"/>
        <v>-3408854.8619996114</v>
      </c>
      <c r="X30" s="91">
        <f t="shared" si="10"/>
        <v>46267963.02031032</v>
      </c>
    </row>
    <row r="31" spans="1:24" ht="12.75">
      <c r="A31" s="14" t="s">
        <v>53</v>
      </c>
      <c r="B31" s="15" t="s">
        <v>54</v>
      </c>
      <c r="C31" s="16">
        <v>3425.0602386406217</v>
      </c>
      <c r="D31" s="17">
        <v>0.017903118432912153</v>
      </c>
      <c r="E31" s="16">
        <v>10500.492614005056</v>
      </c>
      <c r="F31" s="17">
        <v>0.05488708220415538</v>
      </c>
      <c r="G31" s="16">
        <v>2015</v>
      </c>
      <c r="H31" s="17">
        <v>0.005898314809014616</v>
      </c>
      <c r="I31" s="16">
        <v>1205.2581556835528</v>
      </c>
      <c r="J31" s="17">
        <v>0.0063</v>
      </c>
      <c r="K31" s="16">
        <v>1033.078419157331</v>
      </c>
      <c r="L31" s="17">
        <v>0.0054</v>
      </c>
      <c r="M31" s="18">
        <v>191310.81836246868</v>
      </c>
      <c r="N31" s="87">
        <f t="shared" si="0"/>
        <v>3202839.0439385003</v>
      </c>
      <c r="O31" s="87">
        <f t="shared" si="1"/>
        <v>-960851.7131815503</v>
      </c>
      <c r="P31" s="87">
        <f t="shared" si="2"/>
        <v>853509.9623268496</v>
      </c>
      <c r="Q31" s="87">
        <f t="shared" si="3"/>
        <v>-256052.98869805492</v>
      </c>
      <c r="R31" s="87">
        <f t="shared" si="4"/>
        <v>314827.9550116392</v>
      </c>
      <c r="S31" s="87">
        <f t="shared" si="5"/>
        <v>-94448.38650349178</v>
      </c>
      <c r="T31" s="87">
        <f t="shared" si="6"/>
        <v>388149.0931159876</v>
      </c>
      <c r="U31" s="87">
        <f t="shared" si="7"/>
        <v>-116444.7279347963</v>
      </c>
      <c r="V31" s="87">
        <f t="shared" si="8"/>
        <v>-333152.8238075083</v>
      </c>
      <c r="W31" s="87">
        <f t="shared" si="9"/>
        <v>16601624.585732425</v>
      </c>
      <c r="X31" s="89">
        <f t="shared" si="10"/>
        <v>19600000</v>
      </c>
    </row>
    <row r="32" spans="1:24" ht="12.75">
      <c r="A32" s="9" t="s">
        <v>55</v>
      </c>
      <c r="B32" s="10" t="s">
        <v>56</v>
      </c>
      <c r="C32" s="11">
        <v>64670.339362394276</v>
      </c>
      <c r="D32" s="12">
        <v>0.032859164026568334</v>
      </c>
      <c r="E32" s="11">
        <v>185575.5014887698</v>
      </c>
      <c r="F32" s="12">
        <v>0.09429138462628911</v>
      </c>
      <c r="G32" s="11">
        <v>32165</v>
      </c>
      <c r="H32" s="12">
        <v>0.008583781469973578</v>
      </c>
      <c r="I32" s="11">
        <v>23814.09051223184</v>
      </c>
      <c r="J32" s="12">
        <v>0.0121</v>
      </c>
      <c r="K32" s="11">
        <v>28537.546481600137</v>
      </c>
      <c r="L32" s="12">
        <v>0.014499999999999999</v>
      </c>
      <c r="M32" s="13">
        <v>1968106.6539034578</v>
      </c>
      <c r="N32" s="90">
        <f t="shared" si="0"/>
        <v>60474465.69197771</v>
      </c>
      <c r="O32" s="90">
        <f t="shared" si="1"/>
        <v>-18142339.707593314</v>
      </c>
      <c r="P32" s="90">
        <f t="shared" si="2"/>
        <v>15084105.585028686</v>
      </c>
      <c r="Q32" s="90">
        <f t="shared" si="3"/>
        <v>-3076771.64900677</v>
      </c>
      <c r="R32" s="90">
        <f t="shared" si="4"/>
        <v>6220527.428977215</v>
      </c>
      <c r="S32" s="90">
        <f t="shared" si="5"/>
        <v>-94440.78239393423</v>
      </c>
      <c r="T32" s="90">
        <f t="shared" si="6"/>
        <v>10722150.982133245</v>
      </c>
      <c r="U32" s="90">
        <f t="shared" si="7"/>
        <v>-1621707.488807368</v>
      </c>
      <c r="V32" s="90">
        <f t="shared" si="8"/>
        <v>-6956599.006031546</v>
      </c>
      <c r="W32" s="90">
        <f t="shared" si="9"/>
        <v>-4874610.48508295</v>
      </c>
      <c r="X32" s="91">
        <f t="shared" si="10"/>
        <v>57734780.56920098</v>
      </c>
    </row>
    <row r="33" spans="1:24" ht="12.75">
      <c r="A33" s="14" t="s">
        <v>57</v>
      </c>
      <c r="B33" s="15" t="s">
        <v>58</v>
      </c>
      <c r="C33" s="16">
        <v>1620.3226292473623</v>
      </c>
      <c r="D33" s="17">
        <v>0.015009205079032698</v>
      </c>
      <c r="E33" s="16">
        <v>4815.07663011691</v>
      </c>
      <c r="F33" s="17">
        <v>0.04460252008345517</v>
      </c>
      <c r="G33" s="16">
        <v>167</v>
      </c>
      <c r="H33" s="17">
        <v>0.0006785280410854823</v>
      </c>
      <c r="I33" s="16">
        <v>572.1628753682453</v>
      </c>
      <c r="J33" s="17">
        <v>0.0053</v>
      </c>
      <c r="K33" s="16">
        <v>572.1628753682453</v>
      </c>
      <c r="L33" s="17">
        <v>0.0053</v>
      </c>
      <c r="M33" s="18">
        <v>107955.25950344252</v>
      </c>
      <c r="N33" s="87">
        <f t="shared" si="0"/>
        <v>1515194.5423273086</v>
      </c>
      <c r="O33" s="87">
        <f t="shared" si="1"/>
        <v>-454558.36269819265</v>
      </c>
      <c r="P33" s="87">
        <f t="shared" si="2"/>
        <v>391383.14974772086</v>
      </c>
      <c r="Q33" s="87">
        <f t="shared" si="3"/>
        <v>-117414.94492431628</v>
      </c>
      <c r="R33" s="87">
        <f t="shared" si="4"/>
        <v>149455.83826695045</v>
      </c>
      <c r="S33" s="87">
        <f t="shared" si="5"/>
        <v>-44836.75148008514</v>
      </c>
      <c r="T33" s="87">
        <f t="shared" si="6"/>
        <v>214973.51708302242</v>
      </c>
      <c r="U33" s="87">
        <f t="shared" si="7"/>
        <v>-64492.055124906736</v>
      </c>
      <c r="V33" s="87">
        <f t="shared" si="8"/>
        <v>-158970.49331975012</v>
      </c>
      <c r="W33" s="87">
        <f t="shared" si="9"/>
        <v>18169265.560122248</v>
      </c>
      <c r="X33" s="89">
        <f t="shared" si="10"/>
        <v>19600000</v>
      </c>
    </row>
    <row r="34" spans="1:24" ht="12.75">
      <c r="A34" s="9" t="s">
        <v>59</v>
      </c>
      <c r="B34" s="10" t="s">
        <v>60</v>
      </c>
      <c r="C34" s="11">
        <v>11949.468858716224</v>
      </c>
      <c r="D34" s="12">
        <v>0.03502147259690212</v>
      </c>
      <c r="E34" s="11">
        <v>28009.386451563416</v>
      </c>
      <c r="F34" s="12">
        <v>0.08208983777165596</v>
      </c>
      <c r="G34" s="11">
        <v>7624</v>
      </c>
      <c r="H34" s="12">
        <v>0.010896347494011582</v>
      </c>
      <c r="I34" s="11">
        <v>3070.836596915662</v>
      </c>
      <c r="J34" s="12">
        <v>0.009000000000000001</v>
      </c>
      <c r="K34" s="11">
        <v>3753.244729563587</v>
      </c>
      <c r="L34" s="12">
        <v>0.011000000000000001</v>
      </c>
      <c r="M34" s="13">
        <v>341204.0663239624</v>
      </c>
      <c r="N34" s="90">
        <f t="shared" si="0"/>
        <v>11174175.853389801</v>
      </c>
      <c r="O34" s="90">
        <f t="shared" si="1"/>
        <v>-3029644.1992929084</v>
      </c>
      <c r="P34" s="90">
        <f t="shared" si="2"/>
        <v>2276682.7475491003</v>
      </c>
      <c r="Q34" s="90">
        <f t="shared" si="3"/>
        <v>-683004.8242647302</v>
      </c>
      <c r="R34" s="90">
        <f t="shared" si="4"/>
        <v>802139.5262275198</v>
      </c>
      <c r="S34" s="90">
        <f t="shared" si="5"/>
        <v>-214564.96899659882</v>
      </c>
      <c r="T34" s="90">
        <f t="shared" si="6"/>
        <v>1410172.2686364653</v>
      </c>
      <c r="U34" s="90">
        <f t="shared" si="7"/>
        <v>-423051.68059093965</v>
      </c>
      <c r="V34" s="90">
        <f t="shared" si="8"/>
        <v>-309983.8555923016</v>
      </c>
      <c r="W34" s="90">
        <f t="shared" si="9"/>
        <v>8597079.13293459</v>
      </c>
      <c r="X34" s="91">
        <f t="shared" si="10"/>
        <v>19600000</v>
      </c>
    </row>
    <row r="35" spans="1:24" ht="12.75">
      <c r="A35" s="14" t="s">
        <v>61</v>
      </c>
      <c r="B35" s="15" t="s">
        <v>62</v>
      </c>
      <c r="C35" s="16">
        <v>10726.13941511377</v>
      </c>
      <c r="D35" s="17">
        <v>0.03600185847608985</v>
      </c>
      <c r="E35" s="16">
        <v>31630.63165450227</v>
      </c>
      <c r="F35" s="17">
        <v>0.1061669516182249</v>
      </c>
      <c r="G35" s="16">
        <v>1057</v>
      </c>
      <c r="H35" s="17">
        <v>0.0020895770237464514</v>
      </c>
      <c r="I35" s="16">
        <v>3158.089126863168</v>
      </c>
      <c r="J35" s="17">
        <v>0.0106</v>
      </c>
      <c r="K35" s="16">
        <v>3515.6086506589986</v>
      </c>
      <c r="L35" s="17">
        <v>0.0118</v>
      </c>
      <c r="M35" s="18">
        <v>297932.9364965253</v>
      </c>
      <c r="N35" s="87">
        <f t="shared" si="0"/>
        <v>10030217.197899245</v>
      </c>
      <c r="O35" s="87">
        <f t="shared" si="1"/>
        <v>-2514828.140760638</v>
      </c>
      <c r="P35" s="87">
        <f t="shared" si="2"/>
        <v>2571027.8769018226</v>
      </c>
      <c r="Q35" s="87">
        <f t="shared" si="3"/>
        <v>-266663.5403293217</v>
      </c>
      <c r="R35" s="87">
        <f t="shared" si="4"/>
        <v>824930.9385431544</v>
      </c>
      <c r="S35" s="87">
        <f t="shared" si="5"/>
        <v>-113235.7782612973</v>
      </c>
      <c r="T35" s="87">
        <f t="shared" si="6"/>
        <v>1320887.441068687</v>
      </c>
      <c r="U35" s="87">
        <f t="shared" si="7"/>
        <v>-396266.2323206062</v>
      </c>
      <c r="V35" s="87">
        <f t="shared" si="8"/>
        <v>-1145606.976274104</v>
      </c>
      <c r="W35" s="87">
        <f t="shared" si="9"/>
        <v>9289537.21353306</v>
      </c>
      <c r="X35" s="89">
        <f t="shared" si="10"/>
        <v>19600000</v>
      </c>
    </row>
    <row r="36" spans="1:24" ht="12.75">
      <c r="A36" s="9" t="s">
        <v>63</v>
      </c>
      <c r="B36" s="10" t="s">
        <v>64</v>
      </c>
      <c r="C36" s="11">
        <v>68557.51834868395</v>
      </c>
      <c r="D36" s="12">
        <v>0.03950186146340332</v>
      </c>
      <c r="E36" s="11">
        <v>182804.3575586081</v>
      </c>
      <c r="F36" s="12">
        <v>0.10532925609208844</v>
      </c>
      <c r="G36" s="11">
        <v>16952</v>
      </c>
      <c r="H36" s="12">
        <v>0.005060253191762462</v>
      </c>
      <c r="I36" s="11">
        <v>18570.40197993032</v>
      </c>
      <c r="J36" s="12">
        <v>0.010700000000000001</v>
      </c>
      <c r="K36" s="11">
        <v>23950.611899349384</v>
      </c>
      <c r="L36" s="12">
        <v>0.0138</v>
      </c>
      <c r="M36" s="13">
        <v>1735551.5869093756</v>
      </c>
      <c r="N36" s="90">
        <f t="shared" si="0"/>
        <v>64109440.7758049</v>
      </c>
      <c r="O36" s="90">
        <f t="shared" si="1"/>
        <v>-11403962.296291238</v>
      </c>
      <c r="P36" s="90">
        <f t="shared" si="2"/>
        <v>14858859.109612858</v>
      </c>
      <c r="Q36" s="90">
        <f t="shared" si="3"/>
        <v>-1646222.4054134977</v>
      </c>
      <c r="R36" s="90">
        <f t="shared" si="4"/>
        <v>4850812.791861816</v>
      </c>
      <c r="S36" s="90">
        <f t="shared" si="5"/>
        <v>-626375.6997563797</v>
      </c>
      <c r="T36" s="90">
        <f t="shared" si="6"/>
        <v>8998744.060386442</v>
      </c>
      <c r="U36" s="90">
        <f t="shared" si="7"/>
        <v>-1729761.5639802366</v>
      </c>
      <c r="V36" s="90">
        <f t="shared" si="8"/>
        <v>-7741153.477222463</v>
      </c>
      <c r="W36" s="90">
        <f t="shared" si="9"/>
        <v>-5674890.98705591</v>
      </c>
      <c r="X36" s="91">
        <f t="shared" si="10"/>
        <v>63995490.30794628</v>
      </c>
    </row>
    <row r="37" spans="1:24" ht="12.75">
      <c r="A37" s="14" t="s">
        <v>65</v>
      </c>
      <c r="B37" s="15" t="s">
        <v>66</v>
      </c>
      <c r="C37" s="16">
        <v>10671.319136720944</v>
      </c>
      <c r="D37" s="17">
        <v>0.02705543373371096</v>
      </c>
      <c r="E37" s="16">
        <v>35253.913963899184</v>
      </c>
      <c r="F37" s="17">
        <v>0.0893806961336278</v>
      </c>
      <c r="G37" s="16">
        <v>7936</v>
      </c>
      <c r="H37" s="17">
        <v>0.011300094689553536</v>
      </c>
      <c r="I37" s="16">
        <v>3510.375817722643</v>
      </c>
      <c r="J37" s="17">
        <v>0.0089</v>
      </c>
      <c r="K37" s="16">
        <v>3983.684916741426</v>
      </c>
      <c r="L37" s="17">
        <v>0.0101</v>
      </c>
      <c r="M37" s="18">
        <v>394424.24918231944</v>
      </c>
      <c r="N37" s="87">
        <f t="shared" si="0"/>
        <v>9978953.711769782</v>
      </c>
      <c r="O37" s="87">
        <f t="shared" si="1"/>
        <v>-2993686.1135309353</v>
      </c>
      <c r="P37" s="87">
        <f t="shared" si="2"/>
        <v>2865538.5880724834</v>
      </c>
      <c r="Q37" s="87">
        <f t="shared" si="3"/>
        <v>-703293.0677516398</v>
      </c>
      <c r="R37" s="87">
        <f t="shared" si="4"/>
        <v>916952.4676554834</v>
      </c>
      <c r="S37" s="87">
        <f t="shared" si="5"/>
        <v>-252739.4458479231</v>
      </c>
      <c r="T37" s="87">
        <f t="shared" si="6"/>
        <v>1496753.4497083884</v>
      </c>
      <c r="U37" s="87">
        <f t="shared" si="7"/>
        <v>-449026.0349125166</v>
      </c>
      <c r="V37" s="87">
        <f t="shared" si="8"/>
        <v>93795.6847514394</v>
      </c>
      <c r="W37" s="87">
        <f t="shared" si="9"/>
        <v>8646750.760085437</v>
      </c>
      <c r="X37" s="89">
        <f t="shared" si="10"/>
        <v>19600000</v>
      </c>
    </row>
    <row r="38" spans="1:24" ht="12.75">
      <c r="A38" s="9" t="s">
        <v>67</v>
      </c>
      <c r="B38" s="10" t="s">
        <v>68</v>
      </c>
      <c r="C38" s="11">
        <v>53049.561853832914</v>
      </c>
      <c r="D38" s="12">
        <v>0.08552187237255579</v>
      </c>
      <c r="E38" s="11">
        <v>109705.69608245385</v>
      </c>
      <c r="F38" s="12">
        <v>0.17685794587251866</v>
      </c>
      <c r="G38" s="11">
        <v>7480</v>
      </c>
      <c r="H38" s="12">
        <v>0.007318180395103472</v>
      </c>
      <c r="I38" s="11">
        <v>9552.682020221913</v>
      </c>
      <c r="J38" s="12">
        <v>0.0154</v>
      </c>
      <c r="K38" s="11">
        <v>16686.178334023993</v>
      </c>
      <c r="L38" s="12">
        <v>0.0269</v>
      </c>
      <c r="M38" s="13">
        <v>620304.0272871372</v>
      </c>
      <c r="N38" s="90">
        <f t="shared" si="0"/>
        <v>49607655.378558286</v>
      </c>
      <c r="O38" s="90">
        <f t="shared" si="1"/>
        <v>14882296.613567488</v>
      </c>
      <c r="P38" s="90">
        <f t="shared" si="2"/>
        <v>8917191.599705545</v>
      </c>
      <c r="Q38" s="90">
        <f t="shared" si="3"/>
        <v>2675157.479911664</v>
      </c>
      <c r="R38" s="90">
        <f t="shared" si="4"/>
        <v>2495275.6644880506</v>
      </c>
      <c r="S38" s="90">
        <f t="shared" si="5"/>
        <v>632314.2740023927</v>
      </c>
      <c r="T38" s="90">
        <f t="shared" si="6"/>
        <v>6269344.967254314</v>
      </c>
      <c r="U38" s="90">
        <f t="shared" si="7"/>
        <v>1880803.4901762945</v>
      </c>
      <c r="V38" s="90">
        <f t="shared" si="8"/>
        <v>-8736003.9467664</v>
      </c>
      <c r="W38" s="90">
        <f t="shared" si="9"/>
        <v>-6689682.773209548</v>
      </c>
      <c r="X38" s="91">
        <f t="shared" si="10"/>
        <v>71934352.74768807</v>
      </c>
    </row>
    <row r="39" spans="1:24" ht="12.75">
      <c r="A39" s="14" t="s">
        <v>69</v>
      </c>
      <c r="B39" s="15" t="s">
        <v>70</v>
      </c>
      <c r="C39" s="16">
        <v>103917.39068600237</v>
      </c>
      <c r="D39" s="17">
        <v>0.0361249299557831</v>
      </c>
      <c r="E39" s="16">
        <v>381758.60462097265</v>
      </c>
      <c r="F39" s="17">
        <v>0.13271121186655982</v>
      </c>
      <c r="G39" s="16">
        <v>44540</v>
      </c>
      <c r="H39" s="17">
        <v>0.006264222485380199</v>
      </c>
      <c r="I39" s="16">
        <v>28478.45432643475</v>
      </c>
      <c r="J39" s="17">
        <v>0.009899999999999999</v>
      </c>
      <c r="K39" s="16">
        <v>34519.33857749667</v>
      </c>
      <c r="L39" s="17">
        <v>0.012</v>
      </c>
      <c r="M39" s="18">
        <v>2876611.548124722</v>
      </c>
      <c r="N39" s="87">
        <f t="shared" si="0"/>
        <v>97175130.6673185</v>
      </c>
      <c r="O39" s="87">
        <f t="shared" si="1"/>
        <v>-24115351.154409975</v>
      </c>
      <c r="P39" s="87">
        <f t="shared" si="2"/>
        <v>31030427.259518676</v>
      </c>
      <c r="Q39" s="87">
        <f t="shared" si="3"/>
        <v>3735225.052195714</v>
      </c>
      <c r="R39" s="87">
        <f t="shared" si="4"/>
        <v>7438915.4681960475</v>
      </c>
      <c r="S39" s="87">
        <f t="shared" si="5"/>
        <v>-1444934.3071303784</v>
      </c>
      <c r="T39" s="87">
        <f t="shared" si="6"/>
        <v>12969634.94286152</v>
      </c>
      <c r="U39" s="87">
        <f t="shared" si="7"/>
        <v>-3859566.601363178</v>
      </c>
      <c r="V39" s="87">
        <f t="shared" si="8"/>
        <v>-12292948.132718688</v>
      </c>
      <c r="W39" s="87">
        <f t="shared" si="9"/>
        <v>-10317924.256943313</v>
      </c>
      <c r="X39" s="89">
        <f t="shared" si="10"/>
        <v>100318608.93752491</v>
      </c>
    </row>
    <row r="40" spans="1:24" ht="12.75">
      <c r="A40" s="9" t="s">
        <v>71</v>
      </c>
      <c r="B40" s="10" t="s">
        <v>72</v>
      </c>
      <c r="C40" s="11">
        <v>164342.87417970478</v>
      </c>
      <c r="D40" s="12">
        <v>0.06711872060295106</v>
      </c>
      <c r="E40" s="11">
        <v>334263.08230046276</v>
      </c>
      <c r="F40" s="12">
        <v>0.13651526140569714</v>
      </c>
      <c r="G40" s="11">
        <v>95910</v>
      </c>
      <c r="H40" s="12">
        <v>0.019454767513398353</v>
      </c>
      <c r="I40" s="11">
        <v>33055.29040922253</v>
      </c>
      <c r="J40" s="12">
        <v>0.013500000000000002</v>
      </c>
      <c r="K40" s="11">
        <v>49215.65460928687</v>
      </c>
      <c r="L40" s="12">
        <v>0.020099999999999996</v>
      </c>
      <c r="M40" s="13">
        <v>2448540.03031278</v>
      </c>
      <c r="N40" s="90">
        <f t="shared" si="0"/>
        <v>153680150.81239575</v>
      </c>
      <c r="O40" s="90">
        <f t="shared" si="1"/>
        <v>46104045.243718736</v>
      </c>
      <c r="P40" s="90">
        <f t="shared" si="2"/>
        <v>27169855.8600012</v>
      </c>
      <c r="Q40" s="90">
        <f t="shared" si="3"/>
        <v>4143062.920599259</v>
      </c>
      <c r="R40" s="90">
        <f t="shared" si="4"/>
        <v>8634440.20915941</v>
      </c>
      <c r="S40" s="90">
        <f t="shared" si="5"/>
        <v>852769.7155788247</v>
      </c>
      <c r="T40" s="90">
        <f t="shared" si="6"/>
        <v>18491347.17119196</v>
      </c>
      <c r="U40" s="90">
        <f t="shared" si="7"/>
        <v>3264562.482918092</v>
      </c>
      <c r="V40" s="90">
        <f t="shared" si="8"/>
        <v>26234023.441556346</v>
      </c>
      <c r="W40" s="90">
        <f t="shared" si="9"/>
        <v>-30485080.244750973</v>
      </c>
      <c r="X40" s="91">
        <f t="shared" si="10"/>
        <v>258089177.61236858</v>
      </c>
    </row>
    <row r="41" spans="1:24" ht="12.75">
      <c r="A41" s="14" t="s">
        <v>73</v>
      </c>
      <c r="B41" s="15" t="s">
        <v>74</v>
      </c>
      <c r="C41" s="16">
        <v>26919.452870407553</v>
      </c>
      <c r="D41" s="17">
        <v>0.040536760154385114</v>
      </c>
      <c r="E41" s="16">
        <v>75542.99553192455</v>
      </c>
      <c r="F41" s="17">
        <v>0.11375670619917208</v>
      </c>
      <c r="G41" s="16">
        <v>34398</v>
      </c>
      <c r="H41" s="17">
        <v>0.023716984761640785</v>
      </c>
      <c r="I41" s="16">
        <v>7504.048579045092</v>
      </c>
      <c r="J41" s="17">
        <v>0.0113</v>
      </c>
      <c r="K41" s="16">
        <v>8632.97624137931</v>
      </c>
      <c r="L41" s="17">
        <v>0.013000000000000001</v>
      </c>
      <c r="M41" s="18">
        <v>664075.0954907162</v>
      </c>
      <c r="N41" s="87">
        <f t="shared" si="0"/>
        <v>25172892.938380297</v>
      </c>
      <c r="O41" s="87">
        <f t="shared" si="1"/>
        <v>-3935638.300759603</v>
      </c>
      <c r="P41" s="87">
        <f t="shared" si="2"/>
        <v>6140349.947440974</v>
      </c>
      <c r="Q41" s="87">
        <f t="shared" si="3"/>
        <v>-243431.20142583732</v>
      </c>
      <c r="R41" s="87">
        <f t="shared" si="4"/>
        <v>1960147.9212633076</v>
      </c>
      <c r="S41" s="87">
        <f t="shared" si="5"/>
        <v>-157388.2038765009</v>
      </c>
      <c r="T41" s="87">
        <f t="shared" si="6"/>
        <v>3243589.0991862155</v>
      </c>
      <c r="U41" s="87">
        <f t="shared" si="7"/>
        <v>-775380.7260542347</v>
      </c>
      <c r="V41" s="87">
        <f t="shared" si="8"/>
        <v>3140514.1474154647</v>
      </c>
      <c r="W41" s="87">
        <f t="shared" si="9"/>
        <v>-1693914.9291230869</v>
      </c>
      <c r="X41" s="89">
        <f t="shared" si="10"/>
        <v>32851740.692447</v>
      </c>
    </row>
    <row r="42" spans="1:24" ht="12.75">
      <c r="A42" s="9" t="s">
        <v>75</v>
      </c>
      <c r="B42" s="10" t="s">
        <v>76</v>
      </c>
      <c r="C42" s="11">
        <v>17841.80243880086</v>
      </c>
      <c r="D42" s="12">
        <v>0.021740700233889673</v>
      </c>
      <c r="E42" s="11">
        <v>77631.80296591856</v>
      </c>
      <c r="F42" s="12">
        <v>0.09459637066869443</v>
      </c>
      <c r="G42" s="11">
        <v>1062</v>
      </c>
      <c r="H42" s="12">
        <v>0.0007208513376475811</v>
      </c>
      <c r="I42" s="11">
        <v>5662.579194934254</v>
      </c>
      <c r="J42" s="12">
        <v>0.0069</v>
      </c>
      <c r="K42" s="11">
        <v>6483.242846374002</v>
      </c>
      <c r="L42" s="12">
        <v>0.0079</v>
      </c>
      <c r="M42" s="13">
        <v>820663.651439747</v>
      </c>
      <c r="N42" s="90">
        <f t="shared" si="0"/>
        <v>16684209.176977484</v>
      </c>
      <c r="O42" s="90">
        <f t="shared" si="1"/>
        <v>-5005262.753093245</v>
      </c>
      <c r="P42" s="90">
        <f t="shared" si="2"/>
        <v>6310134.1680325335</v>
      </c>
      <c r="Q42" s="90">
        <f t="shared" si="3"/>
        <v>-1270858.9261951605</v>
      </c>
      <c r="R42" s="90">
        <f t="shared" si="4"/>
        <v>1479133.9263093718</v>
      </c>
      <c r="S42" s="90">
        <f t="shared" si="5"/>
        <v>-443740.1778928116</v>
      </c>
      <c r="T42" s="90">
        <f t="shared" si="6"/>
        <v>2435889.4587338604</v>
      </c>
      <c r="U42" s="90">
        <f t="shared" si="7"/>
        <v>-730766.8376201582</v>
      </c>
      <c r="V42" s="90">
        <f t="shared" si="8"/>
        <v>-1945873.8035251873</v>
      </c>
      <c r="W42" s="90">
        <f t="shared" si="9"/>
        <v>2087135.7682733089</v>
      </c>
      <c r="X42" s="91">
        <f t="shared" si="10"/>
        <v>19600000</v>
      </c>
    </row>
    <row r="43" spans="1:24" ht="12.75">
      <c r="A43" s="14" t="s">
        <v>77</v>
      </c>
      <c r="B43" s="15" t="s">
        <v>78</v>
      </c>
      <c r="C43" s="16">
        <v>83644.79588399692</v>
      </c>
      <c r="D43" s="17">
        <v>0.03354523982306061</v>
      </c>
      <c r="E43" s="16">
        <v>314525.9245113646</v>
      </c>
      <c r="F43" s="17">
        <v>0.12613872096640733</v>
      </c>
      <c r="G43" s="16">
        <v>54218</v>
      </c>
      <c r="H43" s="17">
        <v>0.010638224814663005</v>
      </c>
      <c r="I43" s="16">
        <v>29423.208676917744</v>
      </c>
      <c r="J43" s="17">
        <v>0.0118</v>
      </c>
      <c r="K43" s="16">
        <v>37901.082363487265</v>
      </c>
      <c r="L43" s="17">
        <v>0.0152</v>
      </c>
      <c r="M43" s="18">
        <v>2493492.260755741</v>
      </c>
      <c r="N43" s="87">
        <f t="shared" si="0"/>
        <v>78217841.26805879</v>
      </c>
      <c r="O43" s="87">
        <f t="shared" si="1"/>
        <v>-23465352.38041764</v>
      </c>
      <c r="P43" s="87">
        <f t="shared" si="2"/>
        <v>25565563.431039907</v>
      </c>
      <c r="Q43" s="87">
        <f t="shared" si="3"/>
        <v>1658867.0592228072</v>
      </c>
      <c r="R43" s="87">
        <f t="shared" si="4"/>
        <v>7685696.689918811</v>
      </c>
      <c r="S43" s="87">
        <f t="shared" si="5"/>
        <v>-304346.59823500714</v>
      </c>
      <c r="T43" s="87">
        <f t="shared" si="6"/>
        <v>14240226.564312255</v>
      </c>
      <c r="U43" s="87">
        <f t="shared" si="7"/>
        <v>-1570328.4129976828</v>
      </c>
      <c r="V43" s="87">
        <f t="shared" si="8"/>
        <v>-5146374.986386712</v>
      </c>
      <c r="W43" s="87">
        <f t="shared" si="9"/>
        <v>-8758985.594721477</v>
      </c>
      <c r="X43" s="89">
        <f t="shared" si="10"/>
        <v>88122807.03979404</v>
      </c>
    </row>
    <row r="44" spans="1:24" ht="12.75">
      <c r="A44" s="9" t="s">
        <v>79</v>
      </c>
      <c r="B44" s="10" t="s">
        <v>80</v>
      </c>
      <c r="C44" s="11">
        <v>16694.179900263418</v>
      </c>
      <c r="D44" s="12">
        <v>0.03965963200035685</v>
      </c>
      <c r="E44" s="11">
        <v>25027.694711806245</v>
      </c>
      <c r="F44" s="12">
        <v>0.05945719813836741</v>
      </c>
      <c r="G44" s="11">
        <v>37</v>
      </c>
      <c r="H44" s="12">
        <v>3.733112709735353E-05</v>
      </c>
      <c r="I44" s="11">
        <v>7618.947553321955</v>
      </c>
      <c r="J44" s="12">
        <v>0.0181</v>
      </c>
      <c r="K44" s="11">
        <v>9260.599236081935</v>
      </c>
      <c r="L44" s="12">
        <v>0.022000000000000002</v>
      </c>
      <c r="M44" s="13">
        <v>420936.32891281514</v>
      </c>
      <c r="N44" s="90">
        <f t="shared" si="0"/>
        <v>15611045.489908911</v>
      </c>
      <c r="O44" s="90">
        <f t="shared" si="1"/>
        <v>-2725675.9092754656</v>
      </c>
      <c r="P44" s="90">
        <f t="shared" si="2"/>
        <v>2034322.3461831536</v>
      </c>
      <c r="Q44" s="90">
        <f t="shared" si="3"/>
        <v>-610296.7038549462</v>
      </c>
      <c r="R44" s="90">
        <f t="shared" si="4"/>
        <v>1990160.9180092236</v>
      </c>
      <c r="S44" s="90">
        <f t="shared" si="5"/>
        <v>597048.2754027672</v>
      </c>
      <c r="T44" s="90">
        <f t="shared" si="6"/>
        <v>3479400.138982473</v>
      </c>
      <c r="U44" s="90">
        <f t="shared" si="7"/>
        <v>1001236.1719743789</v>
      </c>
      <c r="V44" s="90">
        <f t="shared" si="8"/>
        <v>-2137724.072733049</v>
      </c>
      <c r="W44" s="90">
        <f t="shared" si="9"/>
        <v>360483.3454025537</v>
      </c>
      <c r="X44" s="91">
        <f t="shared" si="10"/>
        <v>19600000</v>
      </c>
    </row>
    <row r="45" spans="1:24" ht="12.75">
      <c r="A45" s="14" t="s">
        <v>81</v>
      </c>
      <c r="B45" s="15" t="s">
        <v>82</v>
      </c>
      <c r="C45" s="16">
        <v>12406.58888637</v>
      </c>
      <c r="D45" s="17">
        <v>0.059721741096583625</v>
      </c>
      <c r="E45" s="16">
        <v>26918.548073116748</v>
      </c>
      <c r="F45" s="17">
        <v>0.12957812767414</v>
      </c>
      <c r="G45" s="16">
        <v>3929</v>
      </c>
      <c r="H45" s="17">
        <v>0.00904820026253368</v>
      </c>
      <c r="I45" s="16">
        <v>2804.488732087153</v>
      </c>
      <c r="J45" s="17">
        <v>0.013500000000000002</v>
      </c>
      <c r="K45" s="16">
        <v>3593.900375193166</v>
      </c>
      <c r="L45" s="17">
        <v>0.0173</v>
      </c>
      <c r="M45" s="18">
        <v>207739.90608052982</v>
      </c>
      <c r="N45" s="87">
        <f t="shared" si="0"/>
        <v>11601637.495032884</v>
      </c>
      <c r="O45" s="87">
        <f t="shared" si="1"/>
        <v>2818452.2094418923</v>
      </c>
      <c r="P45" s="87">
        <f t="shared" si="2"/>
        <v>2188016.2956484607</v>
      </c>
      <c r="Q45" s="87">
        <f t="shared" si="3"/>
        <v>205504.82775297426</v>
      </c>
      <c r="R45" s="87">
        <f t="shared" si="4"/>
        <v>732566.2541361819</v>
      </c>
      <c r="S45" s="87">
        <f t="shared" si="5"/>
        <v>72350.99219514712</v>
      </c>
      <c r="T45" s="87">
        <f t="shared" si="6"/>
        <v>1350303.2737033593</v>
      </c>
      <c r="U45" s="87">
        <f t="shared" si="7"/>
        <v>17079.361822423194</v>
      </c>
      <c r="V45" s="87">
        <f t="shared" si="8"/>
        <v>-1898591.0709733323</v>
      </c>
      <c r="W45" s="87">
        <f t="shared" si="9"/>
        <v>2512680.361240007</v>
      </c>
      <c r="X45" s="89">
        <f t="shared" si="10"/>
        <v>19600000</v>
      </c>
    </row>
    <row r="46" spans="1:24" ht="12.75">
      <c r="A46" s="9" t="s">
        <v>83</v>
      </c>
      <c r="B46" s="10" t="s">
        <v>84</v>
      </c>
      <c r="C46" s="11">
        <v>42162.20871408753</v>
      </c>
      <c r="D46" s="12">
        <v>0.04090979061056952</v>
      </c>
      <c r="E46" s="11">
        <v>109577.04122389373</v>
      </c>
      <c r="F46" s="12">
        <v>0.10632208199987923</v>
      </c>
      <c r="G46" s="11">
        <v>22401</v>
      </c>
      <c r="H46" s="12">
        <v>0.01187933888066623</v>
      </c>
      <c r="I46" s="11">
        <v>12573.492521835886</v>
      </c>
      <c r="J46" s="12">
        <v>0.012199999999999999</v>
      </c>
      <c r="K46" s="11">
        <v>15459.212117011335</v>
      </c>
      <c r="L46" s="12">
        <v>0.015</v>
      </c>
      <c r="M46" s="13">
        <v>1030614.1411340891</v>
      </c>
      <c r="N46" s="90">
        <f t="shared" si="0"/>
        <v>39426684.157169566</v>
      </c>
      <c r="O46" s="90">
        <f t="shared" si="1"/>
        <v>-5858046.159671427</v>
      </c>
      <c r="P46" s="90">
        <f t="shared" si="2"/>
        <v>8906734.166181296</v>
      </c>
      <c r="Q46" s="90">
        <f t="shared" si="3"/>
        <v>-912129.8292459013</v>
      </c>
      <c r="R46" s="90">
        <f t="shared" si="4"/>
        <v>3284347.77175078</v>
      </c>
      <c r="S46" s="90">
        <f t="shared" si="5"/>
        <v>-23132.079758816963</v>
      </c>
      <c r="T46" s="90">
        <f t="shared" si="6"/>
        <v>5808348.18754626</v>
      </c>
      <c r="U46" s="90">
        <f t="shared" si="7"/>
        <v>-708508.3334483872</v>
      </c>
      <c r="V46" s="90">
        <f t="shared" si="8"/>
        <v>3012437.2350546517</v>
      </c>
      <c r="W46" s="90">
        <f t="shared" si="9"/>
        <v>-3778328.2801592583</v>
      </c>
      <c r="X46" s="91">
        <f t="shared" si="10"/>
        <v>49158406.83541876</v>
      </c>
    </row>
    <row r="47" spans="1:24" ht="12.75">
      <c r="A47" s="14" t="s">
        <v>85</v>
      </c>
      <c r="B47" s="15" t="s">
        <v>86</v>
      </c>
      <c r="C47" s="16">
        <v>2956.8923274966073</v>
      </c>
      <c r="D47" s="17">
        <v>0.020723493460505574</v>
      </c>
      <c r="E47" s="16">
        <v>7581.585983966252</v>
      </c>
      <c r="F47" s="17">
        <v>0.053135836600450445</v>
      </c>
      <c r="G47" s="16">
        <v>178</v>
      </c>
      <c r="H47" s="17">
        <v>0.00062297445804722</v>
      </c>
      <c r="I47" s="16">
        <v>841.8303007394766</v>
      </c>
      <c r="J47" s="17">
        <v>0.0059</v>
      </c>
      <c r="K47" s="16">
        <v>955.9767821956768</v>
      </c>
      <c r="L47" s="17">
        <v>0.0067</v>
      </c>
      <c r="M47" s="18">
        <v>142683.10182025027</v>
      </c>
      <c r="N47" s="87">
        <f t="shared" si="0"/>
        <v>2765046.3160867104</v>
      </c>
      <c r="O47" s="87">
        <f t="shared" si="1"/>
        <v>-829513.8948260132</v>
      </c>
      <c r="P47" s="87">
        <f t="shared" si="2"/>
        <v>616252.9135939918</v>
      </c>
      <c r="Q47" s="87">
        <f t="shared" si="3"/>
        <v>-184875.87407819755</v>
      </c>
      <c r="R47" s="87">
        <f t="shared" si="4"/>
        <v>219896.2195765703</v>
      </c>
      <c r="S47" s="87">
        <f t="shared" si="5"/>
        <v>-65968.8658729711</v>
      </c>
      <c r="T47" s="87">
        <f t="shared" si="6"/>
        <v>359180.40118567395</v>
      </c>
      <c r="U47" s="87">
        <f t="shared" si="7"/>
        <v>-107754.1203557022</v>
      </c>
      <c r="V47" s="87">
        <f t="shared" si="8"/>
        <v>-277226.3095310062</v>
      </c>
      <c r="W47" s="87">
        <f t="shared" si="9"/>
        <v>17104963.214220945</v>
      </c>
      <c r="X47" s="89">
        <f t="shared" si="10"/>
        <v>19600000</v>
      </c>
    </row>
    <row r="48" spans="1:24" ht="12.75">
      <c r="A48" s="9" t="s">
        <v>87</v>
      </c>
      <c r="B48" s="10" t="s">
        <v>88</v>
      </c>
      <c r="C48" s="11">
        <v>50350.35913056536</v>
      </c>
      <c r="D48" s="12">
        <v>0.04068418411216593</v>
      </c>
      <c r="E48" s="11">
        <v>160334.10005389142</v>
      </c>
      <c r="F48" s="12">
        <v>0.12955343633469943</v>
      </c>
      <c r="G48" s="11">
        <v>48098</v>
      </c>
      <c r="H48" s="12">
        <v>0.01812156344732434</v>
      </c>
      <c r="I48" s="11">
        <v>18068.821075028765</v>
      </c>
      <c r="J48" s="12">
        <v>0.0146</v>
      </c>
      <c r="K48" s="11">
        <v>26360.677321788542</v>
      </c>
      <c r="L48" s="12">
        <v>0.0213</v>
      </c>
      <c r="M48" s="13">
        <v>1237590.4845910114</v>
      </c>
      <c r="N48" s="90">
        <f t="shared" si="0"/>
        <v>47083579.51791952</v>
      </c>
      <c r="O48" s="90">
        <f t="shared" si="1"/>
        <v>-7216787.193220307</v>
      </c>
      <c r="P48" s="90">
        <f t="shared" si="2"/>
        <v>13032412.547406256</v>
      </c>
      <c r="Q48" s="90">
        <f t="shared" si="3"/>
        <v>1221325.3405087215</v>
      </c>
      <c r="R48" s="90">
        <f t="shared" si="4"/>
        <v>4719793.814874696</v>
      </c>
      <c r="S48" s="90">
        <f t="shared" si="5"/>
        <v>888702.4887500408</v>
      </c>
      <c r="T48" s="90">
        <f t="shared" si="6"/>
        <v>9904255.86928959</v>
      </c>
      <c r="U48" s="90">
        <f t="shared" si="7"/>
        <v>2444240.8789378717</v>
      </c>
      <c r="V48" s="90">
        <f t="shared" si="8"/>
        <v>7207752.326446644</v>
      </c>
      <c r="W48" s="90">
        <f t="shared" si="9"/>
        <v>-6764626.586628943</v>
      </c>
      <c r="X48" s="91">
        <f t="shared" si="10"/>
        <v>72520649.00428407</v>
      </c>
    </row>
    <row r="49" spans="1:24" ht="12.75">
      <c r="A49" s="14" t="s">
        <v>89</v>
      </c>
      <c r="B49" s="15" t="s">
        <v>90</v>
      </c>
      <c r="C49" s="16">
        <v>142198.18280797254</v>
      </c>
      <c r="D49" s="17">
        <v>0.036553894275445475</v>
      </c>
      <c r="E49" s="16">
        <v>485557.8605411496</v>
      </c>
      <c r="F49" s="17">
        <v>0.1248189698935981</v>
      </c>
      <c r="G49" s="16">
        <v>155480</v>
      </c>
      <c r="H49" s="17">
        <v>0.01715534235323896</v>
      </c>
      <c r="I49" s="16">
        <v>50182.247188230416</v>
      </c>
      <c r="J49" s="17">
        <v>0.0129</v>
      </c>
      <c r="K49" s="16">
        <v>64964.61457701147</v>
      </c>
      <c r="L49" s="17">
        <v>0.0167</v>
      </c>
      <c r="M49" s="18">
        <v>3890096.681258172</v>
      </c>
      <c r="N49" s="87">
        <f t="shared" si="0"/>
        <v>132972228.26517014</v>
      </c>
      <c r="O49" s="87">
        <f t="shared" si="1"/>
        <v>-31811765.334908623</v>
      </c>
      <c r="P49" s="87">
        <f t="shared" si="2"/>
        <v>39467526.571585536</v>
      </c>
      <c r="Q49" s="87">
        <f t="shared" si="3"/>
        <v>2121189.805753913</v>
      </c>
      <c r="R49" s="87">
        <f t="shared" si="4"/>
        <v>13108207.719365329</v>
      </c>
      <c r="S49" s="87">
        <f t="shared" si="5"/>
        <v>654490.2936124199</v>
      </c>
      <c r="T49" s="87">
        <f t="shared" si="6"/>
        <v>24408559.66506881</v>
      </c>
      <c r="U49" s="87">
        <f t="shared" si="7"/>
        <v>-548514.5437308431</v>
      </c>
      <c r="V49" s="87">
        <f t="shared" si="8"/>
        <v>18037192.244191684</v>
      </c>
      <c r="W49" s="87">
        <f t="shared" si="9"/>
        <v>-20265917.835878912</v>
      </c>
      <c r="X49" s="89">
        <f t="shared" si="10"/>
        <v>178143196.85022944</v>
      </c>
    </row>
    <row r="50" spans="1:24" ht="12.75">
      <c r="A50" s="9" t="s">
        <v>91</v>
      </c>
      <c r="B50" s="10" t="s">
        <v>92</v>
      </c>
      <c r="C50" s="11">
        <v>13949.577606801236</v>
      </c>
      <c r="D50" s="12">
        <v>0.0265967974818524</v>
      </c>
      <c r="E50" s="11">
        <v>57385.18188611993</v>
      </c>
      <c r="F50" s="12">
        <v>0.10941277966296659</v>
      </c>
      <c r="G50" s="11">
        <v>3103</v>
      </c>
      <c r="H50" s="12">
        <v>0.0037435967966489804</v>
      </c>
      <c r="I50" s="11">
        <v>4510.556863109043</v>
      </c>
      <c r="J50" s="12">
        <v>0.0086</v>
      </c>
      <c r="K50" s="11">
        <v>4825.246876814324</v>
      </c>
      <c r="L50" s="12">
        <v>0.0092</v>
      </c>
      <c r="M50" s="13">
        <v>524483.35617547</v>
      </c>
      <c r="N50" s="90">
        <f t="shared" si="0"/>
        <v>13044515.62675161</v>
      </c>
      <c r="O50" s="90">
        <f t="shared" si="1"/>
        <v>-3913354.6880254834</v>
      </c>
      <c r="P50" s="90">
        <f t="shared" si="2"/>
        <v>4664431.111014354</v>
      </c>
      <c r="Q50" s="90">
        <f t="shared" si="3"/>
        <v>-355974.2687838677</v>
      </c>
      <c r="R50" s="90">
        <f t="shared" si="4"/>
        <v>1178211.8100424423</v>
      </c>
      <c r="S50" s="90">
        <f t="shared" si="5"/>
        <v>-353463.54301273276</v>
      </c>
      <c r="T50" s="90">
        <f t="shared" si="6"/>
        <v>1812945.8176311003</v>
      </c>
      <c r="U50" s="90">
        <f t="shared" si="7"/>
        <v>-543883.7452893301</v>
      </c>
      <c r="V50" s="90">
        <f t="shared" si="8"/>
        <v>-1553342.8120328088</v>
      </c>
      <c r="W50" s="90">
        <f t="shared" si="9"/>
        <v>5619914.691704718</v>
      </c>
      <c r="X50" s="91">
        <f t="shared" si="10"/>
        <v>19600000</v>
      </c>
    </row>
    <row r="51" spans="1:24" ht="12.75">
      <c r="A51" s="14" t="s">
        <v>93</v>
      </c>
      <c r="B51" s="15" t="s">
        <v>94</v>
      </c>
      <c r="C51" s="16">
        <v>53220.388335078045</v>
      </c>
      <c r="D51" s="17">
        <v>0.03119774315780077</v>
      </c>
      <c r="E51" s="16">
        <v>154954.51518572375</v>
      </c>
      <c r="F51" s="17">
        <v>0.09083419563700294</v>
      </c>
      <c r="G51" s="16">
        <v>13547</v>
      </c>
      <c r="H51" s="17">
        <v>0.004417555699615343</v>
      </c>
      <c r="I51" s="16">
        <v>16376.688705734101</v>
      </c>
      <c r="J51" s="17">
        <v>0.0096</v>
      </c>
      <c r="K51" s="16">
        <v>22688.53747773579</v>
      </c>
      <c r="L51" s="17">
        <v>0.013300000000000001</v>
      </c>
      <c r="M51" s="18">
        <v>1705905.073513969</v>
      </c>
      <c r="N51" s="87">
        <f t="shared" si="0"/>
        <v>49767398.47378854</v>
      </c>
      <c r="O51" s="87">
        <f t="shared" si="1"/>
        <v>-14930219.542136563</v>
      </c>
      <c r="P51" s="87">
        <f t="shared" si="2"/>
        <v>12595144.559422538</v>
      </c>
      <c r="Q51" s="87">
        <f t="shared" si="3"/>
        <v>-2936692.172102389</v>
      </c>
      <c r="R51" s="87">
        <f t="shared" si="4"/>
        <v>4277788.447873545</v>
      </c>
      <c r="S51" s="87">
        <f t="shared" si="5"/>
        <v>-935367.9058075225</v>
      </c>
      <c r="T51" s="87">
        <f t="shared" si="6"/>
        <v>8524556.39649759</v>
      </c>
      <c r="U51" s="87">
        <f t="shared" si="7"/>
        <v>-1888102.739256877</v>
      </c>
      <c r="V51" s="87">
        <f t="shared" si="8"/>
        <v>-5447450.551827885</v>
      </c>
      <c r="W51" s="87">
        <f t="shared" si="9"/>
        <v>-3335211.8495127223</v>
      </c>
      <c r="X51" s="89">
        <f t="shared" si="10"/>
        <v>45691843.11693825</v>
      </c>
    </row>
    <row r="52" spans="1:24" ht="12.75">
      <c r="A52" s="9" t="s">
        <v>95</v>
      </c>
      <c r="B52" s="10" t="s">
        <v>96</v>
      </c>
      <c r="C52" s="11">
        <v>3844.7693698719168</v>
      </c>
      <c r="D52" s="12">
        <v>0.023802620687500976</v>
      </c>
      <c r="E52" s="11">
        <v>11553.502165460832</v>
      </c>
      <c r="F52" s="12">
        <v>0.07152669073251765</v>
      </c>
      <c r="G52" s="11">
        <v>131</v>
      </c>
      <c r="H52" s="12">
        <v>0.0005563459537510883</v>
      </c>
      <c r="I52" s="11">
        <v>1227.6063041398818</v>
      </c>
      <c r="J52" s="12">
        <v>0.0076</v>
      </c>
      <c r="K52" s="11">
        <v>1227.6063041398818</v>
      </c>
      <c r="L52" s="12">
        <v>0.0076</v>
      </c>
      <c r="M52" s="13">
        <v>161527.1452815634</v>
      </c>
      <c r="N52" s="90">
        <f t="shared" si="0"/>
        <v>3595317.0440155515</v>
      </c>
      <c r="O52" s="90">
        <f t="shared" si="1"/>
        <v>-1078595.1132046655</v>
      </c>
      <c r="P52" s="90">
        <f t="shared" si="2"/>
        <v>939101.5793709982</v>
      </c>
      <c r="Q52" s="90">
        <f t="shared" si="3"/>
        <v>-281730.4738112995</v>
      </c>
      <c r="R52" s="90">
        <f t="shared" si="4"/>
        <v>320665.5607093267</v>
      </c>
      <c r="S52" s="90">
        <f t="shared" si="5"/>
        <v>-96199.66821279803</v>
      </c>
      <c r="T52" s="90">
        <f t="shared" si="6"/>
        <v>461237.27378221176</v>
      </c>
      <c r="U52" s="90">
        <f t="shared" si="7"/>
        <v>-138371.18213466354</v>
      </c>
      <c r="V52" s="90">
        <f t="shared" si="8"/>
        <v>-372142.5020514661</v>
      </c>
      <c r="W52" s="90">
        <f t="shared" si="9"/>
        <v>16250717.481536806</v>
      </c>
      <c r="X52" s="91">
        <f t="shared" si="10"/>
        <v>19600000</v>
      </c>
    </row>
    <row r="53" spans="1:24" ht="12.75">
      <c r="A53" s="14" t="s">
        <v>97</v>
      </c>
      <c r="B53" s="15" t="s">
        <v>98</v>
      </c>
      <c r="C53" s="16">
        <v>30941.925333591364</v>
      </c>
      <c r="D53" s="17">
        <v>0.02234391696650564</v>
      </c>
      <c r="E53" s="16">
        <v>123753.05576404165</v>
      </c>
      <c r="F53" s="17">
        <v>0.08936509194342841</v>
      </c>
      <c r="G53" s="16">
        <v>6069</v>
      </c>
      <c r="H53" s="17">
        <v>0.002362761109629546</v>
      </c>
      <c r="I53" s="16">
        <v>9555.141344367854</v>
      </c>
      <c r="J53" s="17">
        <v>0.0069</v>
      </c>
      <c r="K53" s="16">
        <v>11078.424747093164</v>
      </c>
      <c r="L53" s="17">
        <v>0.008</v>
      </c>
      <c r="M53" s="18">
        <v>1384803.0933866454</v>
      </c>
      <c r="N53" s="87">
        <f t="shared" si="0"/>
        <v>28934383.52850372</v>
      </c>
      <c r="O53" s="87">
        <f t="shared" si="1"/>
        <v>-8680315.058551118</v>
      </c>
      <c r="P53" s="87">
        <f t="shared" si="2"/>
        <v>10059001.024592202</v>
      </c>
      <c r="Q53" s="87">
        <f t="shared" si="3"/>
        <v>-2470119.5318505266</v>
      </c>
      <c r="R53" s="87">
        <f t="shared" si="4"/>
        <v>2495918.069592655</v>
      </c>
      <c r="S53" s="87">
        <f t="shared" si="5"/>
        <v>-748775.4208777967</v>
      </c>
      <c r="T53" s="87">
        <f t="shared" si="6"/>
        <v>4162395.0699168104</v>
      </c>
      <c r="U53" s="87">
        <f t="shared" si="7"/>
        <v>-1248718.5209750433</v>
      </c>
      <c r="V53" s="87">
        <f t="shared" si="8"/>
        <v>-3250376.916035089</v>
      </c>
      <c r="W53" s="87">
        <f t="shared" si="9"/>
        <v>-1094098.8908996247</v>
      </c>
      <c r="X53" s="89">
        <f t="shared" si="10"/>
        <v>28159293.353416186</v>
      </c>
    </row>
    <row r="54" spans="1:24" ht="12.75">
      <c r="A54" s="9" t="s">
        <v>99</v>
      </c>
      <c r="B54" s="10" t="s">
        <v>100</v>
      </c>
      <c r="C54" s="11">
        <v>53188.549433885266</v>
      </c>
      <c r="D54" s="12">
        <v>0.04198303438389192</v>
      </c>
      <c r="E54" s="11">
        <v>116102.43510022046</v>
      </c>
      <c r="F54" s="12">
        <v>0.0916425166082985</v>
      </c>
      <c r="G54" s="11">
        <v>11600</v>
      </c>
      <c r="H54" s="12">
        <v>0.004839536005313476</v>
      </c>
      <c r="I54" s="11">
        <v>12035.605025628649</v>
      </c>
      <c r="J54" s="12">
        <v>0.0095</v>
      </c>
      <c r="K54" s="11">
        <v>15456.250664491528</v>
      </c>
      <c r="L54" s="12">
        <v>0.012199999999999999</v>
      </c>
      <c r="M54" s="13">
        <v>1266905.7921714368</v>
      </c>
      <c r="N54" s="90">
        <f t="shared" si="0"/>
        <v>49737625.31105526</v>
      </c>
      <c r="O54" s="90">
        <f t="shared" si="1"/>
        <v>-6279090.392943182</v>
      </c>
      <c r="P54" s="90">
        <f t="shared" si="2"/>
        <v>9437136.775495375</v>
      </c>
      <c r="Q54" s="90">
        <f t="shared" si="3"/>
        <v>-2135970.0068169357</v>
      </c>
      <c r="R54" s="90">
        <f t="shared" si="4"/>
        <v>3143845.0755784274</v>
      </c>
      <c r="S54" s="90">
        <f t="shared" si="5"/>
        <v>-713011.103859247</v>
      </c>
      <c r="T54" s="90">
        <f t="shared" si="6"/>
        <v>5807235.508113068</v>
      </c>
      <c r="U54" s="90">
        <f t="shared" si="7"/>
        <v>-1660160.349075961</v>
      </c>
      <c r="V54" s="90">
        <f t="shared" si="8"/>
        <v>-5733761.081754679</v>
      </c>
      <c r="W54" s="90">
        <f t="shared" si="9"/>
        <v>-3627261.341324491</v>
      </c>
      <c r="X54" s="91">
        <f t="shared" si="10"/>
        <v>47976588.39446763</v>
      </c>
    </row>
    <row r="55" spans="1:24" ht="12.75">
      <c r="A55" s="14" t="s">
        <v>101</v>
      </c>
      <c r="B55" s="15" t="s">
        <v>102</v>
      </c>
      <c r="C55" s="16">
        <v>12423.585857486343</v>
      </c>
      <c r="D55" s="17">
        <v>0.038199484394431875</v>
      </c>
      <c r="E55" s="16">
        <v>37650.65178611497</v>
      </c>
      <c r="F55" s="17">
        <v>0.11576653486700215</v>
      </c>
      <c r="G55" s="16">
        <v>2051</v>
      </c>
      <c r="H55" s="17">
        <v>0.00300301179681426</v>
      </c>
      <c r="I55" s="16">
        <v>4488.162276302927</v>
      </c>
      <c r="J55" s="17">
        <v>0.0138</v>
      </c>
      <c r="K55" s="16">
        <v>5236.189322353415</v>
      </c>
      <c r="L55" s="17">
        <v>0.0161</v>
      </c>
      <c r="M55" s="18">
        <v>325229.1504567339</v>
      </c>
      <c r="N55" s="87">
        <f t="shared" si="0"/>
        <v>11617531.686354239</v>
      </c>
      <c r="O55" s="87">
        <f t="shared" si="1"/>
        <v>-2381454.0064065577</v>
      </c>
      <c r="P55" s="87">
        <f t="shared" si="2"/>
        <v>3060352.2681105374</v>
      </c>
      <c r="Q55" s="87">
        <f t="shared" si="3"/>
        <v>-69400.1126363893</v>
      </c>
      <c r="R55" s="87">
        <f t="shared" si="4"/>
        <v>1172362.074088155</v>
      </c>
      <c r="S55" s="87">
        <f t="shared" si="5"/>
        <v>144412.40995836616</v>
      </c>
      <c r="T55" s="87">
        <f t="shared" si="6"/>
        <v>1967345.459130699</v>
      </c>
      <c r="U55" s="87">
        <f t="shared" si="7"/>
        <v>-113305.28648950199</v>
      </c>
      <c r="V55" s="87">
        <f t="shared" si="8"/>
        <v>-1539784.4492109546</v>
      </c>
      <c r="W55" s="87">
        <f t="shared" si="9"/>
        <v>5741939.9571014065</v>
      </c>
      <c r="X55" s="89">
        <f t="shared" si="10"/>
        <v>19600000</v>
      </c>
    </row>
    <row r="56" spans="1:24" ht="12.75">
      <c r="A56" s="9" t="s">
        <v>103</v>
      </c>
      <c r="B56" s="10" t="s">
        <v>104</v>
      </c>
      <c r="C56" s="11">
        <v>1534.835451194695</v>
      </c>
      <c r="D56" s="12">
        <v>0.015327204273208937</v>
      </c>
      <c r="E56" s="11">
        <v>7802.509012144817</v>
      </c>
      <c r="F56" s="12">
        <v>0.0779175704989154</v>
      </c>
      <c r="G56" s="11">
        <v>924</v>
      </c>
      <c r="H56" s="12">
        <v>0.004937902139757594</v>
      </c>
      <c r="I56" s="11">
        <v>590.814149836656</v>
      </c>
      <c r="J56" s="12">
        <v>0.0059</v>
      </c>
      <c r="K56" s="11">
        <v>510.70375663846545</v>
      </c>
      <c r="L56" s="12">
        <v>0.0051</v>
      </c>
      <c r="M56" s="13">
        <v>100137.99149773832</v>
      </c>
      <c r="N56" s="90">
        <f t="shared" si="0"/>
        <v>1435253.854413488</v>
      </c>
      <c r="O56" s="90">
        <f t="shared" si="1"/>
        <v>-430576.15632404643</v>
      </c>
      <c r="P56" s="90">
        <f t="shared" si="2"/>
        <v>634210.1668762167</v>
      </c>
      <c r="Q56" s="90">
        <f t="shared" si="3"/>
        <v>-190263.05006286502</v>
      </c>
      <c r="R56" s="90">
        <f t="shared" si="4"/>
        <v>154327.77592740988</v>
      </c>
      <c r="S56" s="90">
        <f t="shared" si="5"/>
        <v>-46298.33277822297</v>
      </c>
      <c r="T56" s="90">
        <f t="shared" si="6"/>
        <v>191882.04526800732</v>
      </c>
      <c r="U56" s="90">
        <f t="shared" si="7"/>
        <v>-57564.613580402205</v>
      </c>
      <c r="V56" s="90">
        <f t="shared" si="8"/>
        <v>-169097.1689739585</v>
      </c>
      <c r="W56" s="90">
        <f t="shared" si="9"/>
        <v>18078125.479234375</v>
      </c>
      <c r="X56" s="91">
        <f t="shared" si="10"/>
        <v>19600000</v>
      </c>
    </row>
    <row r="57" spans="1:24" ht="13.5" thickBot="1">
      <c r="A57" s="19" t="s">
        <v>6</v>
      </c>
      <c r="B57" s="20" t="s">
        <v>115</v>
      </c>
      <c r="C57" s="21">
        <v>959.2854272</v>
      </c>
      <c r="D57" s="22"/>
      <c r="E57" s="21">
        <v>3059.342713772973</v>
      </c>
      <c r="F57" s="22"/>
      <c r="G57" s="21">
        <v>417.20799999999997</v>
      </c>
      <c r="H57" s="22"/>
      <c r="I57" s="21">
        <v>388.8994975135135</v>
      </c>
      <c r="J57" s="22"/>
      <c r="K57" s="21">
        <v>259.26633167567564</v>
      </c>
      <c r="L57" s="22"/>
      <c r="M57" s="23">
        <v>37928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3">
        <v>1144289</v>
      </c>
    </row>
    <row r="58" spans="1:13" ht="13.5" thickTop="1">
      <c r="A58" s="15"/>
      <c r="B58" s="15" t="s">
        <v>121</v>
      </c>
      <c r="C58" s="16">
        <f>SUM(C5:C57)</f>
        <v>2934385.763972949</v>
      </c>
      <c r="D58" s="17">
        <f>+C58/$M$58</f>
        <v>0.048048937626217585</v>
      </c>
      <c r="E58" s="16">
        <f>SUM(E5:E57)</f>
        <v>7233998.347485654</v>
      </c>
      <c r="F58" s="17">
        <f>+E58/$M$58</f>
        <v>0.11845270640758997</v>
      </c>
      <c r="G58" s="16">
        <f>SUM(G5:G57)</f>
        <v>1347426.208</v>
      </c>
      <c r="H58" s="17">
        <v>0.0112033288718544</v>
      </c>
      <c r="I58" s="16">
        <f>SUM(I5:I57)</f>
        <v>750348.2290994232</v>
      </c>
      <c r="J58" s="17">
        <f>+I58/$M$58</f>
        <v>0.012286535635698842</v>
      </c>
      <c r="K58" s="16">
        <f>SUM(K5:K57)</f>
        <v>1043327.8023624304</v>
      </c>
      <c r="L58" s="17">
        <f>+K58/$M$58</f>
        <v>0.017083913476848924</v>
      </c>
      <c r="M58" s="16">
        <f>SUM(M5:M57)</f>
        <v>61070773.027285844</v>
      </c>
    </row>
    <row r="59" spans="1:24" ht="12.75">
      <c r="A59" s="8" t="s">
        <v>116</v>
      </c>
      <c r="X59" s="88"/>
    </row>
    <row r="61" spans="1:9" ht="13.5" thickBot="1">
      <c r="A61" s="33"/>
      <c r="B61" s="33" t="s">
        <v>133</v>
      </c>
      <c r="C61" s="34"/>
      <c r="D61" s="35"/>
      <c r="E61" s="34"/>
      <c r="F61" s="35"/>
      <c r="G61" s="34"/>
      <c r="H61" s="35"/>
      <c r="I61" s="34"/>
    </row>
    <row r="62" spans="1:10" ht="12.75">
      <c r="A62" s="39"/>
      <c r="B62" s="40"/>
      <c r="C62" s="43"/>
      <c r="D62" s="42"/>
      <c r="E62" s="43"/>
      <c r="F62" s="42"/>
      <c r="G62" s="43"/>
      <c r="H62" s="42"/>
      <c r="I62" s="44"/>
      <c r="J62" s="32"/>
    </row>
    <row r="63" spans="1:10" ht="12.75">
      <c r="A63" s="45"/>
      <c r="B63" s="59" t="s">
        <v>122</v>
      </c>
      <c r="C63" s="47"/>
      <c r="D63" s="48"/>
      <c r="E63" s="47"/>
      <c r="F63" s="48"/>
      <c r="G63" s="47"/>
      <c r="H63" s="48"/>
      <c r="I63" s="49"/>
      <c r="J63" s="32"/>
    </row>
    <row r="64" spans="1:10" ht="12.75">
      <c r="A64" s="45"/>
      <c r="B64" s="59" t="s">
        <v>123</v>
      </c>
      <c r="C64" s="47"/>
      <c r="D64" s="48"/>
      <c r="E64" s="47"/>
      <c r="F64" s="48"/>
      <c r="G64" s="47"/>
      <c r="H64" s="48"/>
      <c r="I64" s="49"/>
      <c r="J64" s="32"/>
    </row>
    <row r="65" spans="1:10" ht="12.75">
      <c r="A65" s="45"/>
      <c r="B65" s="59" t="s">
        <v>124</v>
      </c>
      <c r="C65" s="47"/>
      <c r="D65" s="48"/>
      <c r="E65" s="47"/>
      <c r="F65" s="48"/>
      <c r="G65" s="47"/>
      <c r="H65" s="48"/>
      <c r="I65" s="49"/>
      <c r="J65" s="32"/>
    </row>
    <row r="66" spans="1:10" ht="12.75">
      <c r="A66" s="45"/>
      <c r="B66" s="59"/>
      <c r="C66" s="47"/>
      <c r="D66" s="48"/>
      <c r="E66" s="47"/>
      <c r="F66" s="48"/>
      <c r="G66" s="47"/>
      <c r="H66" s="48"/>
      <c r="I66" s="49"/>
      <c r="J66" s="32"/>
    </row>
    <row r="67" spans="1:10" ht="12.75">
      <c r="A67" s="45"/>
      <c r="B67" s="59" t="s">
        <v>125</v>
      </c>
      <c r="C67" s="47"/>
      <c r="D67" s="48"/>
      <c r="E67" s="47"/>
      <c r="F67" s="48"/>
      <c r="G67" s="47"/>
      <c r="H67" s="48"/>
      <c r="I67" s="49"/>
      <c r="J67" s="32"/>
    </row>
    <row r="68" spans="1:10" ht="12.75">
      <c r="A68" s="45"/>
      <c r="B68" s="59" t="s">
        <v>126</v>
      </c>
      <c r="C68" s="47"/>
      <c r="D68" s="48"/>
      <c r="E68" s="47"/>
      <c r="F68" s="48"/>
      <c r="G68" s="47"/>
      <c r="H68" s="48"/>
      <c r="I68" s="49"/>
      <c r="J68" s="32"/>
    </row>
    <row r="69" spans="1:10" ht="12.75">
      <c r="A69" s="45"/>
      <c r="B69" s="59"/>
      <c r="C69" s="47"/>
      <c r="D69" s="48"/>
      <c r="E69" s="47"/>
      <c r="F69" s="48"/>
      <c r="G69" s="47"/>
      <c r="H69" s="48"/>
      <c r="I69" s="49"/>
      <c r="J69" s="32"/>
    </row>
    <row r="70" spans="1:10" ht="12.75">
      <c r="A70" s="45"/>
      <c r="B70" s="59" t="s">
        <v>127</v>
      </c>
      <c r="C70" s="47"/>
      <c r="D70" s="48"/>
      <c r="E70" s="47"/>
      <c r="F70" s="48"/>
      <c r="G70" s="47"/>
      <c r="H70" s="48"/>
      <c r="I70" s="49"/>
      <c r="J70" s="32"/>
    </row>
    <row r="71" spans="1:10" ht="12.75">
      <c r="A71" s="45"/>
      <c r="B71" s="59" t="s">
        <v>128</v>
      </c>
      <c r="C71" s="47"/>
      <c r="D71" s="48"/>
      <c r="E71" s="47"/>
      <c r="F71" s="48"/>
      <c r="G71" s="47"/>
      <c r="H71" s="48"/>
      <c r="I71" s="49"/>
      <c r="J71" s="32"/>
    </row>
    <row r="72" spans="1:10" ht="12.75">
      <c r="A72" s="45"/>
      <c r="B72" s="59"/>
      <c r="C72" s="47"/>
      <c r="D72" s="48"/>
      <c r="E72" s="47"/>
      <c r="F72" s="48"/>
      <c r="G72" s="47"/>
      <c r="H72" s="48"/>
      <c r="I72" s="49"/>
      <c r="J72" s="32"/>
    </row>
    <row r="73" spans="1:10" ht="12.75">
      <c r="A73" s="45"/>
      <c r="B73" s="59" t="s">
        <v>129</v>
      </c>
      <c r="C73" s="47"/>
      <c r="D73" s="48"/>
      <c r="E73" s="47"/>
      <c r="F73" s="48"/>
      <c r="G73" s="47"/>
      <c r="H73" s="48"/>
      <c r="I73" s="49"/>
      <c r="J73" s="32"/>
    </row>
    <row r="74" spans="1:10" ht="12.75">
      <c r="A74" s="45"/>
      <c r="B74" s="59" t="s">
        <v>130</v>
      </c>
      <c r="C74" s="47"/>
      <c r="D74" s="48"/>
      <c r="E74" s="47"/>
      <c r="F74" s="48"/>
      <c r="G74" s="47"/>
      <c r="H74" s="48"/>
      <c r="I74" s="49"/>
      <c r="J74" s="32"/>
    </row>
    <row r="75" spans="1:10" ht="12.75">
      <c r="A75" s="45"/>
      <c r="B75" s="59"/>
      <c r="C75" s="47"/>
      <c r="D75" s="48"/>
      <c r="E75" s="47"/>
      <c r="F75" s="48"/>
      <c r="G75" s="47"/>
      <c r="H75" s="48"/>
      <c r="I75" s="49"/>
      <c r="J75" s="32"/>
    </row>
    <row r="76" spans="1:10" ht="12.75">
      <c r="A76" s="45"/>
      <c r="B76" s="59" t="s">
        <v>131</v>
      </c>
      <c r="C76" s="47"/>
      <c r="D76" s="48"/>
      <c r="E76" s="47"/>
      <c r="F76" s="48"/>
      <c r="G76" s="47"/>
      <c r="H76" s="48"/>
      <c r="I76" s="49"/>
      <c r="J76" s="32"/>
    </row>
    <row r="77" spans="1:10" ht="12.75">
      <c r="A77" s="45"/>
      <c r="B77" s="59" t="s">
        <v>132</v>
      </c>
      <c r="C77" s="47"/>
      <c r="D77" s="48"/>
      <c r="E77" s="47"/>
      <c r="F77" s="48"/>
      <c r="G77" s="47"/>
      <c r="H77" s="48"/>
      <c r="I77" s="49"/>
      <c r="J77" s="32"/>
    </row>
    <row r="78" spans="1:10" ht="12.75">
      <c r="A78" s="45"/>
      <c r="B78" s="59"/>
      <c r="C78" s="47"/>
      <c r="D78" s="48"/>
      <c r="E78" s="47"/>
      <c r="F78" s="48"/>
      <c r="G78" s="47"/>
      <c r="H78" s="48"/>
      <c r="I78" s="49"/>
      <c r="J78" s="32"/>
    </row>
    <row r="79" spans="1:10" ht="13.5" thickBot="1">
      <c r="A79" s="52"/>
      <c r="B79" s="57" t="s">
        <v>142</v>
      </c>
      <c r="C79" s="54"/>
      <c r="D79" s="55"/>
      <c r="E79" s="54"/>
      <c r="F79" s="55"/>
      <c r="G79" s="54"/>
      <c r="H79" s="55"/>
      <c r="I79" s="56"/>
      <c r="J79" s="32"/>
    </row>
    <row r="80" spans="1:9" ht="12.75">
      <c r="A80" s="36"/>
      <c r="B80" s="36"/>
      <c r="C80" s="37"/>
      <c r="D80" s="38"/>
      <c r="E80" s="37"/>
      <c r="F80" s="38"/>
      <c r="G80" s="37"/>
      <c r="H80" s="38"/>
      <c r="I80" s="37"/>
    </row>
    <row r="82" spans="1:7" ht="13.5" thickBot="1">
      <c r="A82" s="33"/>
      <c r="B82" s="33" t="s">
        <v>150</v>
      </c>
      <c r="C82" s="34"/>
      <c r="D82" s="35"/>
      <c r="E82" s="34"/>
      <c r="F82" s="35"/>
      <c r="G82" s="34"/>
    </row>
    <row r="83" spans="1:8" ht="12.75">
      <c r="A83" s="39"/>
      <c r="B83" s="40" t="s">
        <v>134</v>
      </c>
      <c r="C83" s="41">
        <v>3920000000</v>
      </c>
      <c r="D83" s="42"/>
      <c r="E83" s="43"/>
      <c r="F83" s="42"/>
      <c r="G83" s="44"/>
      <c r="H83" s="32"/>
    </row>
    <row r="84" spans="1:8" ht="12.75">
      <c r="A84" s="45"/>
      <c r="B84" s="46"/>
      <c r="C84" s="47"/>
      <c r="D84" s="48" t="s">
        <v>136</v>
      </c>
      <c r="E84" s="47"/>
      <c r="F84" s="48" t="s">
        <v>137</v>
      </c>
      <c r="G84" s="49"/>
      <c r="H84" s="32"/>
    </row>
    <row r="85" spans="1:8" ht="12.75">
      <c r="A85" s="45" t="s">
        <v>139</v>
      </c>
      <c r="B85" s="46">
        <v>0.7</v>
      </c>
      <c r="C85" s="47" t="s">
        <v>135</v>
      </c>
      <c r="D85" s="50">
        <f>+C40</f>
        <v>164342.87417970478</v>
      </c>
      <c r="E85" s="47" t="s">
        <v>135</v>
      </c>
      <c r="F85" s="51">
        <f>+D40</f>
        <v>0.06711872060295106</v>
      </c>
      <c r="G85" s="49" t="s">
        <v>140</v>
      </c>
      <c r="H85" s="32"/>
    </row>
    <row r="86" spans="1:8" ht="12.75">
      <c r="A86" s="45"/>
      <c r="B86" s="46"/>
      <c r="C86" s="47"/>
      <c r="D86" s="47">
        <f>+C58</f>
        <v>2934385.763972949</v>
      </c>
      <c r="E86" s="47"/>
      <c r="F86" s="48">
        <f>+D58</f>
        <v>0.048048937626217585</v>
      </c>
      <c r="G86" s="49"/>
      <c r="H86" s="32"/>
    </row>
    <row r="87" spans="1:8" ht="12.75">
      <c r="A87" s="45"/>
      <c r="B87" s="46"/>
      <c r="C87" s="47"/>
      <c r="D87" s="47"/>
      <c r="E87" s="47"/>
      <c r="F87" s="48"/>
      <c r="G87" s="49"/>
      <c r="H87" s="32"/>
    </row>
    <row r="88" spans="1:8" ht="12.75">
      <c r="A88" s="45" t="s">
        <v>141</v>
      </c>
      <c r="B88" s="46">
        <v>0.15</v>
      </c>
      <c r="C88" s="47" t="s">
        <v>135</v>
      </c>
      <c r="D88" s="50">
        <f>+E40</f>
        <v>334263.08230046276</v>
      </c>
      <c r="E88" s="47" t="s">
        <v>135</v>
      </c>
      <c r="F88" s="51">
        <f>+F40</f>
        <v>0.13651526140569714</v>
      </c>
      <c r="G88" s="49" t="s">
        <v>140</v>
      </c>
      <c r="H88" s="32"/>
    </row>
    <row r="89" spans="1:8" ht="12.75">
      <c r="A89" s="45"/>
      <c r="B89" s="46"/>
      <c r="C89" s="47"/>
      <c r="D89" s="47">
        <f>+E58</f>
        <v>7233998.347485654</v>
      </c>
      <c r="E89" s="47"/>
      <c r="F89" s="48">
        <f>+F58</f>
        <v>0.11845270640758997</v>
      </c>
      <c r="G89" s="49"/>
      <c r="H89" s="32"/>
    </row>
    <row r="90" spans="1:8" ht="12.75">
      <c r="A90" s="45"/>
      <c r="B90" s="46"/>
      <c r="C90" s="47"/>
      <c r="D90" s="47"/>
      <c r="E90" s="47"/>
      <c r="F90" s="48"/>
      <c r="G90" s="49"/>
      <c r="H90" s="32"/>
    </row>
    <row r="91" spans="1:8" ht="12.75">
      <c r="A91" s="45" t="s">
        <v>141</v>
      </c>
      <c r="B91" s="46">
        <v>0.1</v>
      </c>
      <c r="C91" s="47" t="s">
        <v>135</v>
      </c>
      <c r="D91" s="50">
        <f>+K40</f>
        <v>49215.65460928687</v>
      </c>
      <c r="E91" s="47" t="s">
        <v>135</v>
      </c>
      <c r="F91" s="51">
        <f>+L40</f>
        <v>0.020099999999999996</v>
      </c>
      <c r="G91" s="49" t="s">
        <v>140</v>
      </c>
      <c r="H91" s="32"/>
    </row>
    <row r="92" spans="1:8" ht="12.75">
      <c r="A92" s="45"/>
      <c r="B92" s="46"/>
      <c r="C92" s="47"/>
      <c r="D92" s="47">
        <f>+K58</f>
        <v>1043327.8023624304</v>
      </c>
      <c r="E92" s="47"/>
      <c r="F92" s="48">
        <f>+L58</f>
        <v>0.017083913476848924</v>
      </c>
      <c r="G92" s="49"/>
      <c r="H92" s="32"/>
    </row>
    <row r="93" spans="1:8" ht="12.75">
      <c r="A93" s="45"/>
      <c r="B93" s="46"/>
      <c r="C93" s="47"/>
      <c r="D93" s="47"/>
      <c r="E93" s="47"/>
      <c r="F93" s="48"/>
      <c r="G93" s="49"/>
      <c r="H93" s="32"/>
    </row>
    <row r="94" spans="1:8" ht="12.75">
      <c r="A94" s="45" t="s">
        <v>141</v>
      </c>
      <c r="B94" s="46">
        <v>0.05</v>
      </c>
      <c r="C94" s="47" t="s">
        <v>135</v>
      </c>
      <c r="D94" s="50">
        <f>+I40</f>
        <v>33055.29040922253</v>
      </c>
      <c r="E94" s="47" t="s">
        <v>135</v>
      </c>
      <c r="F94" s="51">
        <f>+J40</f>
        <v>0.013500000000000002</v>
      </c>
      <c r="G94" s="49" t="s">
        <v>138</v>
      </c>
      <c r="H94" s="32"/>
    </row>
    <row r="95" spans="1:8" ht="12.75">
      <c r="A95" s="45"/>
      <c r="B95" s="46"/>
      <c r="C95" s="47"/>
      <c r="D95" s="47">
        <f>+I58</f>
        <v>750348.2290994232</v>
      </c>
      <c r="E95" s="47"/>
      <c r="F95" s="48">
        <f>+J58</f>
        <v>0.012286535635698842</v>
      </c>
      <c r="G95" s="49"/>
      <c r="H95" s="32"/>
    </row>
    <row r="96" spans="1:8" ht="12.75">
      <c r="A96" s="45"/>
      <c r="B96" s="46"/>
      <c r="C96" s="47"/>
      <c r="D96" s="48"/>
      <c r="E96" s="47"/>
      <c r="F96" s="48"/>
      <c r="G96" s="49"/>
      <c r="H96" s="32"/>
    </row>
    <row r="97" spans="1:8" ht="12.75">
      <c r="A97" s="45"/>
      <c r="B97" s="46"/>
      <c r="C97" s="47"/>
      <c r="D97" s="48"/>
      <c r="E97" s="47" t="s">
        <v>135</v>
      </c>
      <c r="F97" s="51">
        <f>+H40</f>
        <v>0.019454767513398353</v>
      </c>
      <c r="G97" s="49"/>
      <c r="H97" s="32"/>
    </row>
    <row r="98" spans="1:8" ht="12.75">
      <c r="A98" s="45"/>
      <c r="B98" s="46"/>
      <c r="C98" s="47"/>
      <c r="D98" s="48"/>
      <c r="E98" s="47"/>
      <c r="F98" s="48">
        <v>0.0112033288718544</v>
      </c>
      <c r="G98" s="49"/>
      <c r="H98" s="32"/>
    </row>
    <row r="99" spans="1:8" ht="12.75">
      <c r="A99" s="45"/>
      <c r="B99" s="46"/>
      <c r="C99" s="47"/>
      <c r="D99" s="48"/>
      <c r="E99" s="47"/>
      <c r="F99" s="48"/>
      <c r="G99" s="49"/>
      <c r="H99" s="32"/>
    </row>
    <row r="100" spans="1:8" ht="13.5" thickBot="1">
      <c r="A100" s="52"/>
      <c r="B100" s="58" t="s">
        <v>142</v>
      </c>
      <c r="C100" s="54"/>
      <c r="D100" s="55"/>
      <c r="E100" s="54"/>
      <c r="F100" s="55"/>
      <c r="G100" s="56"/>
      <c r="H100" s="32"/>
    </row>
    <row r="101" spans="1:7" ht="12.75">
      <c r="A101" s="36"/>
      <c r="B101" s="36"/>
      <c r="C101" s="37"/>
      <c r="D101" s="38"/>
      <c r="E101" s="37"/>
      <c r="F101" s="38"/>
      <c r="G101" s="37"/>
    </row>
    <row r="102" spans="1:9" ht="12.75">
      <c r="A102" s="33"/>
      <c r="B102" s="33"/>
      <c r="C102" s="34"/>
      <c r="D102" s="35"/>
      <c r="E102" s="34"/>
      <c r="F102" s="35"/>
      <c r="G102" s="34"/>
      <c r="H102" s="35"/>
      <c r="I102" s="34"/>
    </row>
    <row r="103" spans="1:10" ht="13.5" thickBot="1">
      <c r="A103" s="78"/>
      <c r="B103" s="78" t="s">
        <v>151</v>
      </c>
      <c r="C103" s="79"/>
      <c r="D103" s="80"/>
      <c r="E103" s="79"/>
      <c r="F103" s="80"/>
      <c r="G103" s="79"/>
      <c r="H103" s="80"/>
      <c r="I103" s="79"/>
      <c r="J103" s="32"/>
    </row>
    <row r="104" spans="1:10" ht="12.75">
      <c r="A104" s="45"/>
      <c r="B104" s="46" t="s">
        <v>134</v>
      </c>
      <c r="C104" s="60">
        <v>3920000000</v>
      </c>
      <c r="D104" s="48"/>
      <c r="E104" s="47"/>
      <c r="F104" s="48"/>
      <c r="G104" s="47"/>
      <c r="H104" s="71"/>
      <c r="I104" s="74"/>
      <c r="J104" s="32"/>
    </row>
    <row r="105" spans="1:10" ht="38.25">
      <c r="A105" s="45"/>
      <c r="B105" s="61" t="s">
        <v>144</v>
      </c>
      <c r="C105" s="50"/>
      <c r="D105" s="62" t="s">
        <v>136</v>
      </c>
      <c r="E105" s="63"/>
      <c r="F105" s="62" t="s">
        <v>137</v>
      </c>
      <c r="G105" s="63" t="s">
        <v>143</v>
      </c>
      <c r="H105" s="71"/>
      <c r="I105" s="75" t="s">
        <v>145</v>
      </c>
      <c r="J105" s="32"/>
    </row>
    <row r="106" spans="1:10" ht="12.75">
      <c r="A106" s="45" t="s">
        <v>139</v>
      </c>
      <c r="B106" s="64">
        <v>0.7</v>
      </c>
      <c r="C106" s="65" t="s">
        <v>135</v>
      </c>
      <c r="D106" s="66">
        <f>+D85/D86</f>
        <v>0.056005885864575715</v>
      </c>
      <c r="E106" s="65" t="s">
        <v>135</v>
      </c>
      <c r="F106" s="67">
        <f>+F85/F86</f>
        <v>1.396882510183288</v>
      </c>
      <c r="G106" s="68">
        <f>IF(F106&gt;1.3,1.3,IF(F106&lt;0.7,0.7,F106))</f>
        <v>1.3</v>
      </c>
      <c r="H106" s="72" t="s">
        <v>140</v>
      </c>
      <c r="I106" s="76">
        <f>+$C$104*B106*D106*G106</f>
        <v>199784196.0561145</v>
      </c>
      <c r="J106" s="94"/>
    </row>
    <row r="107" spans="1:10" ht="12.75">
      <c r="A107" s="45"/>
      <c r="B107" s="64"/>
      <c r="C107" s="65"/>
      <c r="D107" s="65"/>
      <c r="E107" s="65"/>
      <c r="F107" s="69"/>
      <c r="G107" s="47"/>
      <c r="H107" s="72"/>
      <c r="I107" s="74"/>
      <c r="J107" s="32"/>
    </row>
    <row r="108" spans="1:10" ht="12.75">
      <c r="A108" s="45" t="s">
        <v>141</v>
      </c>
      <c r="B108" s="64">
        <v>0.15</v>
      </c>
      <c r="C108" s="65" t="s">
        <v>135</v>
      </c>
      <c r="D108" s="66">
        <f>+D88/D89</f>
        <v>0.0462072378571449</v>
      </c>
      <c r="E108" s="65" t="s">
        <v>135</v>
      </c>
      <c r="F108" s="67">
        <f>+F88/F89</f>
        <v>1.1524874825228122</v>
      </c>
      <c r="G108" s="68">
        <f>IF(F108&gt;1.3,1.3,IF(F108&lt;0.7,0.7,F108))</f>
        <v>1.1524874825228122</v>
      </c>
      <c r="H108" s="72" t="s">
        <v>140</v>
      </c>
      <c r="I108" s="76">
        <f>+$C$104*B108*D108*G108</f>
        <v>31312918.780600462</v>
      </c>
      <c r="J108" s="32"/>
    </row>
    <row r="109" spans="1:10" ht="12.75">
      <c r="A109" s="45"/>
      <c r="B109" s="64"/>
      <c r="C109" s="65"/>
      <c r="D109" s="65"/>
      <c r="E109" s="65"/>
      <c r="F109" s="69"/>
      <c r="G109" s="47"/>
      <c r="H109" s="71"/>
      <c r="I109" s="74"/>
      <c r="J109" s="32"/>
    </row>
    <row r="110" spans="1:9" ht="12.75">
      <c r="A110" s="45" t="s">
        <v>141</v>
      </c>
      <c r="B110" s="64">
        <v>0.1</v>
      </c>
      <c r="C110" s="65" t="s">
        <v>135</v>
      </c>
      <c r="D110" s="66">
        <f>+D91/D92</f>
        <v>0.047171804008142755</v>
      </c>
      <c r="E110" s="65" t="s">
        <v>135</v>
      </c>
      <c r="F110" s="67">
        <f>+F91/F92</f>
        <v>1.1765454108180944</v>
      </c>
      <c r="G110" s="68">
        <f>IF(F110&gt;1.3,1.3,IF(F110&lt;0.7,0.7,F110))</f>
        <v>1.1765454108180944</v>
      </c>
      <c r="H110" s="72" t="s">
        <v>140</v>
      </c>
      <c r="I110" s="76">
        <f>+$C$104*B110*D110*G110</f>
        <v>21755909.65411005</v>
      </c>
    </row>
    <row r="111" spans="1:10" ht="12.75">
      <c r="A111" s="45"/>
      <c r="B111" s="64"/>
      <c r="C111" s="65"/>
      <c r="D111" s="65"/>
      <c r="E111" s="65"/>
      <c r="F111" s="69"/>
      <c r="G111" s="47"/>
      <c r="H111" s="72"/>
      <c r="I111" s="74"/>
      <c r="J111" s="32"/>
    </row>
    <row r="112" spans="1:10" ht="12.75">
      <c r="A112" s="45" t="s">
        <v>141</v>
      </c>
      <c r="B112" s="64">
        <v>0.05</v>
      </c>
      <c r="C112" s="65" t="s">
        <v>135</v>
      </c>
      <c r="D112" s="66">
        <f>+D94/D95</f>
        <v>0.04405326637326229</v>
      </c>
      <c r="E112" s="65" t="s">
        <v>135</v>
      </c>
      <c r="F112" s="67">
        <f>+F94/F95</f>
        <v>1.098763752475141</v>
      </c>
      <c r="G112" s="68">
        <f>IF(F112&gt;1.3,1.3,IF(F112&lt;0.7,0.7,F112))</f>
        <v>1.098763752475141</v>
      </c>
      <c r="H112" s="72" t="s">
        <v>138</v>
      </c>
      <c r="I112" s="76">
        <f>+$C$104*B112*D112*G112</f>
        <v>9487209.924738234</v>
      </c>
      <c r="J112" s="32"/>
    </row>
    <row r="113" spans="1:10" ht="12.75">
      <c r="A113" s="45"/>
      <c r="B113" s="64"/>
      <c r="C113" s="65"/>
      <c r="D113" s="69"/>
      <c r="E113" s="65"/>
      <c r="F113" s="69"/>
      <c r="G113" s="47"/>
      <c r="H113" s="72"/>
      <c r="I113" s="74"/>
      <c r="J113" s="32"/>
    </row>
    <row r="114" spans="1:10" ht="12.75">
      <c r="A114" s="45"/>
      <c r="B114" s="64"/>
      <c r="C114" s="65"/>
      <c r="D114" s="69"/>
      <c r="E114" s="65" t="s">
        <v>135</v>
      </c>
      <c r="F114" s="67">
        <f>+F97/F98</f>
        <v>1.7365166849893747</v>
      </c>
      <c r="G114" s="68">
        <f>IF(F114&gt;1.1,1.1,IF(F114&lt;0.9,0.9,F114))</f>
        <v>1.1</v>
      </c>
      <c r="H114" s="72"/>
      <c r="I114" s="76">
        <f>SUM(I106:I112)*G114-SUM(I106:I112)</f>
        <v>26234023.441556334</v>
      </c>
      <c r="J114" s="32"/>
    </row>
    <row r="115" spans="1:10" ht="12.75">
      <c r="A115" s="45"/>
      <c r="B115" s="46"/>
      <c r="C115" s="47"/>
      <c r="D115" s="48"/>
      <c r="E115" s="47"/>
      <c r="F115" s="48"/>
      <c r="G115" s="47"/>
      <c r="H115" s="71"/>
      <c r="I115" s="76"/>
      <c r="J115" s="32"/>
    </row>
    <row r="116" spans="1:10" ht="12.75">
      <c r="A116" s="45"/>
      <c r="B116" s="46"/>
      <c r="C116" s="47"/>
      <c r="D116" s="48"/>
      <c r="E116" s="47" t="s">
        <v>146</v>
      </c>
      <c r="F116" s="48"/>
      <c r="G116" s="47"/>
      <c r="H116" s="71"/>
      <c r="I116" s="76">
        <f>SUM(I106:I114)</f>
        <v>288574257.85711956</v>
      </c>
      <c r="J116" s="32"/>
    </row>
    <row r="117" spans="1:10" ht="12.75">
      <c r="A117" s="45"/>
      <c r="B117" s="46"/>
      <c r="C117" s="47"/>
      <c r="D117" s="48"/>
      <c r="E117" s="47"/>
      <c r="F117" s="48"/>
      <c r="G117" s="47"/>
      <c r="H117" s="71"/>
      <c r="I117" s="74"/>
      <c r="J117" s="32"/>
    </row>
    <row r="118" spans="1:10" ht="12.75">
      <c r="A118" s="45"/>
      <c r="B118" s="46" t="s">
        <v>147</v>
      </c>
      <c r="C118" s="47"/>
      <c r="D118" s="48"/>
      <c r="E118" s="47"/>
      <c r="F118" s="48"/>
      <c r="G118" s="47"/>
      <c r="H118" s="71"/>
      <c r="I118" s="74"/>
      <c r="J118" s="32"/>
    </row>
    <row r="119" spans="1:10" ht="12.75">
      <c r="A119" s="45"/>
      <c r="B119" s="46" t="s">
        <v>154</v>
      </c>
      <c r="C119" s="47"/>
      <c r="D119" s="48"/>
      <c r="E119" s="47"/>
      <c r="F119" s="48"/>
      <c r="G119" s="70">
        <f>+I116-19600000</f>
        <v>268974257.85711956</v>
      </c>
      <c r="H119" s="71"/>
      <c r="I119" s="74"/>
      <c r="J119" s="32"/>
    </row>
    <row r="120" spans="1:10" ht="12.75">
      <c r="A120" s="45"/>
      <c r="B120" s="46" t="s">
        <v>148</v>
      </c>
      <c r="C120" s="47"/>
      <c r="D120" s="48"/>
      <c r="E120" s="47"/>
      <c r="F120" s="48"/>
      <c r="G120" s="70">
        <v>3289213088</v>
      </c>
      <c r="H120" s="71"/>
      <c r="I120" s="74"/>
      <c r="J120" s="32"/>
    </row>
    <row r="121" spans="1:10" ht="12.75">
      <c r="A121" s="45"/>
      <c r="B121" s="46" t="s">
        <v>149</v>
      </c>
      <c r="C121" s="47"/>
      <c r="D121" s="48"/>
      <c r="E121" s="47"/>
      <c r="F121" s="48"/>
      <c r="G121" s="70">
        <f>4292793760-C104</f>
        <v>372793760</v>
      </c>
      <c r="H121" s="71"/>
      <c r="I121" s="74"/>
      <c r="J121" s="32"/>
    </row>
    <row r="122" spans="1:10" ht="12.75">
      <c r="A122" s="45"/>
      <c r="B122" s="46"/>
      <c r="C122" s="47"/>
      <c r="D122" s="48"/>
      <c r="E122" s="47"/>
      <c r="F122" s="48"/>
      <c r="G122" s="47"/>
      <c r="H122" s="71"/>
      <c r="I122" s="74"/>
      <c r="J122" s="32"/>
    </row>
    <row r="123" spans="1:10" ht="12.75">
      <c r="A123" s="45"/>
      <c r="B123" s="46" t="s">
        <v>153</v>
      </c>
      <c r="C123" s="47"/>
      <c r="D123" s="48"/>
      <c r="E123" s="47"/>
      <c r="F123" s="48"/>
      <c r="G123" s="47"/>
      <c r="H123" s="71"/>
      <c r="I123" s="76">
        <f>IF(I116&gt;19600000,-(G119/G120)*G121,19600000-I116)</f>
        <v>-30485080.244750973</v>
      </c>
      <c r="J123" s="32"/>
    </row>
    <row r="124" spans="1:10" ht="12.75">
      <c r="A124" s="45"/>
      <c r="B124" s="46"/>
      <c r="C124" s="47"/>
      <c r="D124" s="48"/>
      <c r="E124" s="47"/>
      <c r="F124" s="48"/>
      <c r="G124" s="47"/>
      <c r="H124" s="71"/>
      <c r="I124" s="74"/>
      <c r="J124" s="32"/>
    </row>
    <row r="125" spans="1:10" ht="13.5" thickBot="1">
      <c r="A125" s="52"/>
      <c r="B125" s="53" t="s">
        <v>152</v>
      </c>
      <c r="C125" s="54"/>
      <c r="D125" s="55"/>
      <c r="E125" s="54"/>
      <c r="F125" s="55"/>
      <c r="G125" s="54"/>
      <c r="H125" s="73"/>
      <c r="I125" s="77">
        <f>+I116+I123</f>
        <v>258089177.61236858</v>
      </c>
      <c r="J125" s="32"/>
    </row>
    <row r="126" spans="1:9" ht="12.75">
      <c r="A126" s="36"/>
      <c r="B126" s="36"/>
      <c r="C126" s="37"/>
      <c r="D126" s="38"/>
      <c r="E126" s="37"/>
      <c r="F126" s="38"/>
      <c r="G126" s="37"/>
      <c r="H126" s="38"/>
      <c r="I126" s="37"/>
    </row>
  </sheetData>
  <printOptions/>
  <pageMargins left="0.75" right="0.75" top="1" bottom="1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H13657</cp:lastModifiedBy>
  <dcterms:created xsi:type="dcterms:W3CDTF">2008-09-29T18:27:26Z</dcterms:created>
  <dcterms:modified xsi:type="dcterms:W3CDTF">2008-09-29T22:34:10Z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1727980188</vt:i4>
  </property>
  <property fmtid="{D5CDD505-2E9C-101B-9397-08002B2CF9AE}" pid="4" name="_NewReviewCyc">
    <vt:lpwstr/>
  </property>
  <property fmtid="{D5CDD505-2E9C-101B-9397-08002B2CF9AE}" pid="5" name="_EmailSubje">
    <vt:lpwstr>Data to post</vt:lpwstr>
  </property>
  <property fmtid="{D5CDD505-2E9C-101B-9397-08002B2CF9AE}" pid="6" name="_AuthorEma">
    <vt:lpwstr>Todd.M.Richardson@hud.gov</vt:lpwstr>
  </property>
  <property fmtid="{D5CDD505-2E9C-101B-9397-08002B2CF9AE}" pid="7" name="_AuthorEmailDisplayNa">
    <vt:lpwstr>Richardson, Todd M</vt:lpwstr>
  </property>
</Properties>
</file>